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90" windowHeight="8085" tabRatio="500"/>
  </bookViews>
  <sheets>
    <sheet name="Intestazione" sheetId="1" r:id="rId1"/>
    <sheet name="Lamierini" sheetId="2" r:id="rId2"/>
    <sheet name="Elaborazione" sheetId="3" r:id="rId3"/>
    <sheet name="Stampa" sheetId="4" r:id="rId4"/>
    <sheet name="Tabelle riferimento" sheetId="5" r:id="rId5"/>
  </sheets>
  <definedNames>
    <definedName name="Drink">#REF!</definedName>
    <definedName name="Food">#REF!</definedName>
    <definedName name="Foodstuff">#REF!</definedName>
    <definedName name="Fruit">#REF!</definedName>
    <definedName name="Meat">#REF!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7" i="3"/>
  <c r="H70" i="4"/>
  <c r="I59"/>
  <c r="J59"/>
  <c r="H59"/>
  <c r="M124" i="3"/>
  <c r="K70" i="4" s="1"/>
  <c r="J195"/>
  <c r="H195"/>
  <c r="N18" i="3"/>
  <c r="G18"/>
  <c r="S7"/>
  <c r="S8" s="1"/>
  <c r="R7"/>
  <c r="R9" s="1"/>
  <c r="C84"/>
  <c r="L19"/>
  <c r="E19"/>
  <c r="E18"/>
  <c r="L18"/>
  <c r="Q7"/>
  <c r="Q10" s="1"/>
  <c r="N7"/>
  <c r="N11" s="1"/>
  <c r="M7"/>
  <c r="M10" s="1"/>
  <c r="K7"/>
  <c r="K8"/>
  <c r="I7"/>
  <c r="I11" s="1"/>
  <c r="H7"/>
  <c r="H10" s="1"/>
  <c r="G7"/>
  <c r="G9" s="1"/>
  <c r="F7"/>
  <c r="F8" s="1"/>
  <c r="E7"/>
  <c r="E9" s="1"/>
  <c r="C7"/>
  <c r="B7"/>
  <c r="B9" s="1"/>
  <c r="A7"/>
  <c r="A8" s="1"/>
  <c r="J265" i="4"/>
  <c r="H265"/>
  <c r="J264"/>
  <c r="H264"/>
  <c r="J262"/>
  <c r="H262"/>
  <c r="J261"/>
  <c r="H261"/>
  <c r="J259"/>
  <c r="H259"/>
  <c r="J258"/>
  <c r="H258"/>
  <c r="J256"/>
  <c r="H256"/>
  <c r="J255"/>
  <c r="H255"/>
  <c r="J254"/>
  <c r="H254"/>
  <c r="J252"/>
  <c r="H252"/>
  <c r="J251"/>
  <c r="H251"/>
  <c r="J250"/>
  <c r="H250"/>
  <c r="J249"/>
  <c r="H249"/>
  <c r="J247"/>
  <c r="H247"/>
  <c r="J245"/>
  <c r="H245"/>
  <c r="J244"/>
  <c r="H244"/>
  <c r="J243"/>
  <c r="H243"/>
  <c r="J241"/>
  <c r="H241"/>
  <c r="J240"/>
  <c r="H240"/>
  <c r="J239"/>
  <c r="H239"/>
  <c r="J227"/>
  <c r="H227"/>
  <c r="J226"/>
  <c r="H226"/>
  <c r="J225"/>
  <c r="H225"/>
  <c r="J224"/>
  <c r="H224"/>
  <c r="J222"/>
  <c r="H222"/>
  <c r="J221"/>
  <c r="H221"/>
  <c r="J220"/>
  <c r="H220"/>
  <c r="J219"/>
  <c r="H219"/>
  <c r="J218"/>
  <c r="H218"/>
  <c r="J217"/>
  <c r="H217"/>
  <c r="J213"/>
  <c r="H213"/>
  <c r="J212"/>
  <c r="H212"/>
  <c r="J211"/>
  <c r="H211"/>
  <c r="J210"/>
  <c r="H210"/>
  <c r="J205"/>
  <c r="H205"/>
  <c r="J203"/>
  <c r="H203"/>
  <c r="J202"/>
  <c r="H202"/>
  <c r="J201"/>
  <c r="H201"/>
  <c r="J200"/>
  <c r="H200"/>
  <c r="J194"/>
  <c r="H194"/>
  <c r="J192"/>
  <c r="H192"/>
  <c r="I152"/>
  <c r="J152" s="1"/>
  <c r="H152"/>
  <c r="H151"/>
  <c r="A148"/>
  <c r="J147"/>
  <c r="H147"/>
  <c r="J146"/>
  <c r="H146"/>
  <c r="J145"/>
  <c r="H145"/>
  <c r="H127"/>
  <c r="J123"/>
  <c r="H123"/>
  <c r="J120"/>
  <c r="H120"/>
  <c r="J116"/>
  <c r="H116"/>
  <c r="I114"/>
  <c r="H114"/>
  <c r="H113"/>
  <c r="J112"/>
  <c r="H112"/>
  <c r="J110"/>
  <c r="H110"/>
  <c r="T109"/>
  <c r="R109"/>
  <c r="T108"/>
  <c r="R108"/>
  <c r="T107"/>
  <c r="R107"/>
  <c r="J107"/>
  <c r="H107"/>
  <c r="J105"/>
  <c r="H105"/>
  <c r="J104"/>
  <c r="H104"/>
  <c r="T102"/>
  <c r="S102"/>
  <c r="R102"/>
  <c r="J102"/>
  <c r="H102"/>
  <c r="J101"/>
  <c r="H101"/>
  <c r="T99"/>
  <c r="S99"/>
  <c r="R99"/>
  <c r="J99"/>
  <c r="H99"/>
  <c r="T98"/>
  <c r="R98"/>
  <c r="J98"/>
  <c r="H98"/>
  <c r="T90"/>
  <c r="R90"/>
  <c r="T88"/>
  <c r="R88"/>
  <c r="T87"/>
  <c r="R87"/>
  <c r="T86"/>
  <c r="R86"/>
  <c r="R81"/>
  <c r="T79"/>
  <c r="R79"/>
  <c r="T78"/>
  <c r="R78"/>
  <c r="J78"/>
  <c r="I78"/>
  <c r="H78"/>
  <c r="J77"/>
  <c r="I77"/>
  <c r="H77"/>
  <c r="T76"/>
  <c r="R76"/>
  <c r="T75"/>
  <c r="R75"/>
  <c r="J75"/>
  <c r="I75"/>
  <c r="H75"/>
  <c r="J74"/>
  <c r="I74"/>
  <c r="H74"/>
  <c r="I73"/>
  <c r="H73"/>
  <c r="T70"/>
  <c r="R70"/>
  <c r="R69"/>
  <c r="J68"/>
  <c r="I68"/>
  <c r="H68"/>
  <c r="T67"/>
  <c r="R67"/>
  <c r="I67"/>
  <c r="H67"/>
  <c r="T66"/>
  <c r="R66"/>
  <c r="I66"/>
  <c r="H66"/>
  <c r="J65"/>
  <c r="I65"/>
  <c r="H65"/>
  <c r="T64"/>
  <c r="R64"/>
  <c r="J64"/>
  <c r="I64"/>
  <c r="H64"/>
  <c r="R62"/>
  <c r="J62"/>
  <c r="I62"/>
  <c r="H62"/>
  <c r="J61"/>
  <c r="I61"/>
  <c r="H61"/>
  <c r="T60"/>
  <c r="R60"/>
  <c r="T59"/>
  <c r="R59"/>
  <c r="T58"/>
  <c r="R58"/>
  <c r="T56"/>
  <c r="R56"/>
  <c r="T55"/>
  <c r="R55"/>
  <c r="T54"/>
  <c r="R54"/>
  <c r="J54"/>
  <c r="I54"/>
  <c r="H54"/>
  <c r="J53"/>
  <c r="I53"/>
  <c r="H53"/>
  <c r="T52"/>
  <c r="R52"/>
  <c r="J52"/>
  <c r="I52"/>
  <c r="H52"/>
  <c r="T51"/>
  <c r="R51"/>
  <c r="J51"/>
  <c r="I51"/>
  <c r="H51"/>
  <c r="T13"/>
  <c r="R13"/>
  <c r="T12"/>
  <c r="R12"/>
  <c r="T11"/>
  <c r="R11"/>
  <c r="T9"/>
  <c r="R9"/>
  <c r="T8"/>
  <c r="R8"/>
  <c r="T7"/>
  <c r="R7"/>
  <c r="T5"/>
  <c r="R5"/>
  <c r="T4"/>
  <c r="R4"/>
  <c r="B171" i="3"/>
  <c r="R119" i="4" s="1"/>
  <c r="A171" i="3"/>
  <c r="R118" i="4" s="1"/>
  <c r="S170" i="3"/>
  <c r="Q136" i="4" s="1"/>
  <c r="R170" i="3"/>
  <c r="Q135" i="4" s="1"/>
  <c r="Q170" i="3"/>
  <c r="Q134" i="4" s="1"/>
  <c r="P170" i="3"/>
  <c r="Q133" i="4" s="1"/>
  <c r="O170" i="3"/>
  <c r="Q132" i="4" s="1"/>
  <c r="N170" i="3"/>
  <c r="Q131" i="4" s="1"/>
  <c r="M170" i="3"/>
  <c r="Q130" i="4" s="1"/>
  <c r="L170" i="3"/>
  <c r="Q129" i="4" s="1"/>
  <c r="K170" i="3"/>
  <c r="Q128" i="4" s="1"/>
  <c r="J170" i="3"/>
  <c r="Q127" i="4" s="1"/>
  <c r="I170" i="3"/>
  <c r="Q126" i="4" s="1"/>
  <c r="H170" i="3"/>
  <c r="Q125" i="4" s="1"/>
  <c r="G170" i="3"/>
  <c r="Q124" i="4" s="1"/>
  <c r="F170" i="3"/>
  <c r="Q123" i="4" s="1"/>
  <c r="E170" i="3"/>
  <c r="Q122" i="4" s="1"/>
  <c r="D170" i="3"/>
  <c r="Q121" i="4" s="1"/>
  <c r="C170" i="3"/>
  <c r="Q120" i="4" s="1"/>
  <c r="B170" i="3"/>
  <c r="Q119" i="4" s="1"/>
  <c r="A170" i="3"/>
  <c r="Q118" i="4" s="1"/>
  <c r="C123" i="3"/>
  <c r="E83"/>
  <c r="I259" i="4" s="1"/>
  <c r="C83" i="3"/>
  <c r="I258" i="4" s="1"/>
  <c r="N31" i="3"/>
  <c r="M31"/>
  <c r="N30"/>
  <c r="M30"/>
  <c r="J30"/>
  <c r="N29"/>
  <c r="M29"/>
  <c r="J29"/>
  <c r="H29"/>
  <c r="G29"/>
  <c r="N28"/>
  <c r="M28"/>
  <c r="J28"/>
  <c r="H28"/>
  <c r="G28"/>
  <c r="N27"/>
  <c r="M27"/>
  <c r="J27"/>
  <c r="H27"/>
  <c r="G27"/>
  <c r="N26"/>
  <c r="H26"/>
  <c r="P18"/>
  <c r="I18"/>
  <c r="I104" i="4" s="1"/>
  <c r="I101"/>
  <c r="I99"/>
  <c r="C18" i="3"/>
  <c r="P9"/>
  <c r="O7"/>
  <c r="O8" s="1"/>
  <c r="L7"/>
  <c r="L9" s="1"/>
  <c r="J7"/>
  <c r="J9" s="1"/>
  <c r="D7"/>
  <c r="D11" s="1"/>
  <c r="C10"/>
  <c r="I98" i="4" l="1"/>
  <c r="I107"/>
  <c r="I110"/>
  <c r="C39" i="3"/>
  <c r="E39" s="1"/>
  <c r="D39" s="1"/>
  <c r="I195" i="4" s="1"/>
  <c r="C28" i="3"/>
  <c r="H18"/>
  <c r="J18"/>
  <c r="H83"/>
  <c r="I252" i="4" s="1"/>
  <c r="C159" i="3"/>
  <c r="S98" i="4" l="1"/>
  <c r="I105"/>
  <c r="H39" i="3"/>
  <c r="H41" s="1"/>
  <c r="I102" i="4"/>
  <c r="G39" i="3"/>
  <c r="G41" s="1"/>
  <c r="I250" i="4"/>
  <c r="I145"/>
  <c r="C90" i="3"/>
  <c r="D28"/>
  <c r="I192" i="4"/>
  <c r="C40" i="3"/>
  <c r="C41" s="1"/>
  <c r="G90"/>
  <c r="F39"/>
  <c r="I205" i="4" l="1"/>
  <c r="G97" i="3"/>
  <c r="I116" i="4"/>
  <c r="I194"/>
  <c r="C97" i="3"/>
  <c r="C98" s="1"/>
  <c r="C99" s="1"/>
  <c r="I146" i="4"/>
  <c r="E28" i="3"/>
  <c r="I255" i="4"/>
  <c r="I217"/>
  <c r="N74" i="3"/>
  <c r="L74"/>
  <c r="I224" i="4"/>
  <c r="E74" i="3"/>
  <c r="C74"/>
  <c r="I116" l="1"/>
  <c r="J116"/>
  <c r="D116"/>
  <c r="E116"/>
  <c r="I225" i="4"/>
  <c r="G74" i="3"/>
  <c r="H97" s="1"/>
  <c r="F74"/>
  <c r="H116"/>
  <c r="H117" s="1"/>
  <c r="H118" s="1"/>
  <c r="I218" i="4"/>
  <c r="R74" i="3"/>
  <c r="I222" i="4" s="1"/>
  <c r="Q74" i="3"/>
  <c r="I221" i="4" s="1"/>
  <c r="P74" i="3"/>
  <c r="O74"/>
  <c r="C51" s="1"/>
  <c r="D51" s="1"/>
  <c r="D52" s="1"/>
  <c r="D53" s="1"/>
  <c r="C116"/>
  <c r="C117" s="1"/>
  <c r="C118" s="1"/>
  <c r="I147" i="4"/>
  <c r="K30" i="3"/>
  <c r="K29"/>
  <c r="I150" i="4" s="1"/>
  <c r="J150" s="1"/>
  <c r="K28" i="3"/>
  <c r="I149" i="4" s="1"/>
  <c r="J149" s="1"/>
  <c r="K27" i="3"/>
  <c r="I148" i="4" s="1"/>
  <c r="J148" s="1"/>
  <c r="K26" i="3"/>
  <c r="C63" l="1"/>
  <c r="D63" s="1"/>
  <c r="D64" s="1"/>
  <c r="D65" s="1"/>
  <c r="F51"/>
  <c r="F63"/>
  <c r="L90"/>
  <c r="I264" i="4" s="1"/>
  <c r="I151"/>
  <c r="J151" s="1"/>
  <c r="D90" i="3"/>
  <c r="S51" i="4"/>
  <c r="I219"/>
  <c r="D97" i="3"/>
  <c r="I220" i="4"/>
  <c r="S52"/>
  <c r="I226"/>
  <c r="I227"/>
  <c r="I243" l="1"/>
  <c r="I97" i="3"/>
  <c r="I239" i="4"/>
  <c r="E97" i="3"/>
  <c r="L97" s="1"/>
  <c r="L98" s="1"/>
  <c r="L99" s="1"/>
  <c r="I254" i="4"/>
  <c r="I210"/>
  <c r="G63" i="3"/>
  <c r="G64" s="1"/>
  <c r="G65" s="1"/>
  <c r="I63"/>
  <c r="I200" i="4"/>
  <c r="G51" i="3"/>
  <c r="G52" s="1"/>
  <c r="G53" s="1"/>
  <c r="I51"/>
  <c r="I201" i="4" l="1"/>
  <c r="I211"/>
  <c r="I240"/>
  <c r="I244"/>
  <c r="K51" i="3"/>
  <c r="I203" i="4" s="1"/>
  <c r="J51" i="3"/>
  <c r="I202" i="4" s="1"/>
  <c r="K63" i="3"/>
  <c r="I213" i="4" s="1"/>
  <c r="J63" i="3"/>
  <c r="I212" i="4" s="1"/>
  <c r="F83" i="3" l="1"/>
  <c r="D83"/>
  <c r="I241" i="4"/>
  <c r="G159" i="3"/>
  <c r="S109" i="4" s="1"/>
  <c r="K83" i="3"/>
  <c r="I83"/>
  <c r="I245" i="4"/>
  <c r="F108" i="3"/>
  <c r="C108"/>
  <c r="M90"/>
  <c r="I265" i="4" s="1"/>
  <c r="S4" l="1"/>
  <c r="D108" i="3"/>
  <c r="D133"/>
  <c r="S5" i="4"/>
  <c r="G108" i="3"/>
  <c r="I247" i="4"/>
  <c r="E90" i="3"/>
  <c r="I251" i="4"/>
  <c r="D123" i="3"/>
  <c r="E123" s="1"/>
  <c r="J90"/>
  <c r="K116" l="1"/>
  <c r="F116"/>
  <c r="I262" i="4"/>
  <c r="D141" i="3"/>
  <c r="S64" i="4"/>
  <c r="F123" i="3"/>
  <c r="G123" s="1"/>
  <c r="I256" i="4"/>
  <c r="F159" i="3"/>
  <c r="L108"/>
  <c r="S8" i="4"/>
  <c r="S75"/>
  <c r="F133" i="3"/>
  <c r="S7" i="4"/>
  <c r="I108" i="3"/>
  <c r="S54" i="4" l="1"/>
  <c r="H141" i="3"/>
  <c r="M116"/>
  <c r="S9" i="4"/>
  <c r="N171" i="3"/>
  <c r="R131" i="4" s="1"/>
  <c r="S55"/>
  <c r="I141" i="3"/>
  <c r="S88" i="4" s="1"/>
  <c r="S12"/>
  <c r="P116" i="3"/>
  <c r="S108" i="4"/>
  <c r="R171" i="3"/>
  <c r="R135" i="4" s="1"/>
  <c r="S59" l="1"/>
  <c r="I123"/>
  <c r="S56"/>
  <c r="E133" i="3"/>
  <c r="S87" i="4"/>
  <c r="J141" i="3"/>
  <c r="I70" i="4" s="1"/>
  <c r="J142" i="3" l="1"/>
  <c r="J143" s="1"/>
  <c r="S90" i="4"/>
  <c r="I133" i="3"/>
  <c r="H133"/>
  <c r="S78" i="4" s="1"/>
  <c r="G133" i="3"/>
  <c r="S76" i="4" s="1"/>
  <c r="S79" l="1"/>
  <c r="F171" i="3"/>
  <c r="R123" i="4" s="1"/>
  <c r="L133" i="3"/>
  <c r="S81" i="4" s="1"/>
  <c r="I249"/>
  <c r="I90" i="3"/>
  <c r="I261" i="4" s="1"/>
  <c r="C141" i="3"/>
  <c r="K97"/>
  <c r="K108"/>
  <c r="S11" i="4" s="1"/>
  <c r="O116" i="3"/>
  <c r="S58" i="4" s="1"/>
  <c r="Q116" i="3"/>
  <c r="M123" s="1"/>
  <c r="H123"/>
  <c r="I123"/>
  <c r="I112" i="4" s="1"/>
  <c r="J123" i="3"/>
  <c r="E171"/>
  <c r="R122" i="4"/>
  <c r="S67" l="1"/>
  <c r="J124" i="3"/>
  <c r="I120" i="4"/>
  <c r="C171" i="3"/>
  <c r="R120" i="4" s="1"/>
  <c r="L123" i="3"/>
  <c r="I113" i="4"/>
  <c r="S69"/>
  <c r="J125" i="3"/>
  <c r="S66" i="4"/>
  <c r="S116" i="3"/>
  <c r="S117" s="1"/>
  <c r="S118" s="1"/>
  <c r="N108"/>
  <c r="E159"/>
  <c r="E141"/>
  <c r="S60" i="4"/>
  <c r="E142" i="3" l="1"/>
  <c r="E143" s="1"/>
  <c r="S86" i="4"/>
  <c r="S107"/>
  <c r="S171" i="3"/>
  <c r="R136" i="4" s="1"/>
  <c r="S13"/>
  <c r="M171" i="3"/>
  <c r="R130" i="4" s="1"/>
  <c r="I127"/>
  <c r="S62"/>
  <c r="S70"/>
  <c r="G171" i="3"/>
  <c r="R124" i="4" s="1"/>
</calcChain>
</file>

<file path=xl/comments1.xml><?xml version="1.0" encoding="utf-8"?>
<comments xmlns="http://schemas.openxmlformats.org/spreadsheetml/2006/main">
  <authors>
    <author/>
    <author>R.Rombi</author>
  </authors>
  <commentList>
    <comment ref="A4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Frequenza di Rete in Hz</t>
        </r>
      </text>
    </comment>
    <comment ref="B4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Potenza Apparente Nominale.</t>
        </r>
      </text>
    </comment>
    <comment ref="C4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Tensione Nominale al Primario in kV</t>
        </r>
      </text>
    </comment>
    <comment ref="D4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Tensione Nominale al Secondario in V</t>
        </r>
      </text>
    </comment>
    <comment ref="E4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Fattore di Utilizzazione scelto per trasformatori trifasi a colonna:
1÷1.4 x 10^-2.
Al suo variare varia il rapporto pesi Rame e Ferro e con esso il rapporto perdite.
(par. 6.1.2 pag.2179)</t>
        </r>
      </text>
    </comment>
    <comment ref="F4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Densita di Corrente al Primario in A/mm².
(par.6.1.9 pag.2181)</t>
        </r>
      </text>
    </comment>
    <comment ref="G4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Densita di Corrente al Secondario in A/mm².
(par.6.1.9 pag.2181)</t>
        </r>
      </text>
    </comment>
    <comment ref="H4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Massima Altezza Assiale scelta degli avvolgimenti.
(tab.LXI pag.2181)</t>
        </r>
      </text>
    </comment>
    <comment ref="I4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Numero gradini del Nucleo
(2,3 o 4)</t>
        </r>
      </text>
    </comment>
    <comment ref="J4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Valore ipotizzato del
cos ϕ del carico.</t>
        </r>
      </text>
    </comment>
    <comment ref="K4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Tipo di lamiera per colonne e gioghi in W/kg</t>
        </r>
      </text>
    </comment>
    <comment ref="L4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Induzione Massima nel Nucleo in T (Tesla=Wb/m²).
(tab.LIX pag.2179)</t>
        </r>
      </text>
    </comment>
    <comment ref="M4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Cifra di perdita.</t>
        </r>
      </text>
    </comment>
    <comment ref="N4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Coefficiente di trasmissione
della temperatura
(scambio termico) ≈ 80 W/m²°C.</t>
        </r>
      </text>
    </comment>
    <comment ref="O4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Coefficiente di stipamento lamiere.
Verniciate: 0.92÷0.93
Ossidate: 0.94</t>
        </r>
      </text>
    </comment>
    <comment ref="P4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Tipo e spessore strato
isolante avvolgimento B.T.
bispessore vernice: 0,1÷0,18 mm
bispessore carta: 0,3÷0,6 mm.
(par. 6.1.11 pag.2182)</t>
        </r>
      </text>
    </comment>
    <comment ref="Q4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Dimensioni canale tra Nucleo
e avvolgimento B.T. ottenuto
con opportuni distanziatori di
legno o stratificato plastico.
Dimensioni canale comprese fra 4÷10 mm</t>
        </r>
      </text>
    </comment>
    <comment ref="R4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Spazio al di sopra del Giogo superiore.
(almeno 30mm)</t>
        </r>
      </text>
    </comment>
    <comment ref="S4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 xml:space="preserve">Battente al di sopra di </t>
        </r>
        <r>
          <rPr>
            <b/>
            <sz val="9"/>
            <color rgb="FF000000"/>
            <rFont val="Tahoma"/>
            <family val="2"/>
          </rPr>
          <t>δ₄</t>
        </r>
        <r>
          <rPr>
            <sz val="9"/>
            <color rgb="FF000000"/>
            <rFont val="Tahoma"/>
            <family val="2"/>
          </rPr>
          <t xml:space="preserve">
(valori compresi tra 300÷400 mm)</t>
        </r>
      </text>
    </comment>
    <comment ref="C16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Tensione secondaria a vuoto considerato il collegamento a Stella</t>
        </r>
      </text>
    </comment>
    <comment ref="E16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  <family val="2"/>
          </rPr>
          <t>Valore massimo ammissibile
della Corrente a Vuoto</t>
        </r>
        <r>
          <rPr>
            <sz val="9"/>
            <color rgb="FF000000"/>
            <rFont val="Tahoma"/>
          </rPr>
          <t xml:space="preserve"> (%).
(tab.LXIII pag.2186)</t>
        </r>
      </text>
    </comment>
    <comment ref="G16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Corrente primaria nominale di linea</t>
        </r>
      </text>
    </comment>
    <comment ref="H16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Corrente di fase primaria per collegamento a Triangolo</t>
        </r>
      </text>
    </comment>
    <comment ref="I16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Corrente secondaria nominale di linea</t>
        </r>
      </text>
    </comment>
    <comment ref="J16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Corrente di fase secondaria per collegamento a Stella</t>
        </r>
      </text>
    </comment>
    <comment ref="L16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Tensione di Prova per Primario e Secondario.
(tab.LVIII pag.2179)</t>
        </r>
      </text>
    </comment>
    <comment ref="N16" authorId="1">
      <text>
        <r>
          <rPr>
            <b/>
            <sz val="9"/>
            <color indexed="81"/>
            <rFont val="Tahoma"/>
            <charset val="1"/>
          </rPr>
          <t>R.Rombi:</t>
        </r>
        <r>
          <rPr>
            <sz val="9"/>
            <color indexed="81"/>
            <rFont val="Tahoma"/>
            <charset val="1"/>
          </rPr>
          <t xml:space="preserve">
Prese di regolazione
nell'avvolgimento Primario.
(÷ il 5% di U₁)</t>
        </r>
      </text>
    </comment>
    <comment ref="P16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Flusso massimo per colonna</t>
        </r>
      </text>
    </comment>
    <comment ref="C26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Sezione del Nucleo/Colonna</t>
        </r>
      </text>
    </comment>
    <comment ref="D26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Area del cerchio circoscritto ai gradini del Nucleo</t>
        </r>
      </text>
    </comment>
    <comment ref="E26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Diametro cerchio circoscritto ai gradini del Nucleo</t>
        </r>
      </text>
    </comment>
    <comment ref="G26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Diametro cerchio circoscritto ai gradini del Nucleo a 2 gradini.</t>
        </r>
      </text>
    </comment>
    <comment ref="J26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Diametro cerchio circoscritto ai gradini del Nucleo a3 gradini.</t>
        </r>
      </text>
    </comment>
    <comment ref="M26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Diametro cerchio circoscritto ai gradini del Nucleo a 4 gradini.</t>
        </r>
      </text>
    </comment>
    <comment ref="C37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Valore della f.e.m./spira</t>
        </r>
      </text>
    </comment>
    <comment ref="D37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Numero di spire per la regolazione primaria</t>
        </r>
      </text>
    </comment>
    <comment ref="E37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Numero totale di spire al Primario per collegamento a Triangolo</t>
        </r>
      </text>
    </comment>
    <comment ref="F37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Numero totale di spire al Secondario per collegamento a Stella</t>
        </r>
      </text>
    </comment>
    <comment ref="G37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Sezione calcolata dei conduttori avvolgimento Primario. Dimensionamento preliminare.</t>
        </r>
      </text>
    </comment>
    <comment ref="H37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Sezione calcolata dei conduttori avvolgimento Secondario. Dimensionamento preliminare.</t>
        </r>
      </text>
    </comment>
    <comment ref="C49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Numero di spire teorico di uno strato dell'avvolgimento Primario</t>
        </r>
      </text>
    </comment>
    <comment ref="D49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Tensione massima tra spira e spira di due strati adiacenti dell'avvolgimento Primario</t>
        </r>
      </text>
    </comment>
    <comment ref="F49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Numero di spire - ottimizzato - di uno strato dell'avvolgimento Primario</t>
        </r>
      </text>
    </comment>
    <comment ref="G49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Tensione massima ottimizzata (&lt;=850V) tra spira e spira di due strati adiacenti dell'avvolgimento Primario</t>
        </r>
      </text>
    </comment>
    <comment ref="I49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Numero di strati avvolgimento Primario</t>
        </r>
      </text>
    </comment>
    <comment ref="J49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Numero di strati eccedenti per l'avvolgimento Primario</t>
        </r>
      </text>
    </comment>
    <comment ref="K49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Numero di spire strato eccendente avvolgimento Primario</t>
        </r>
      </text>
    </comment>
    <comment ref="C61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Numero di spire teorico di uno strato dell'avvolgimento Secondario</t>
        </r>
      </text>
    </comment>
    <comment ref="D61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Tensione massima tra spira e spira di due strati adiacenti dell'avvolgimento Secondario</t>
        </r>
      </text>
    </comment>
    <comment ref="F61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Numero di spire - ottimizzato - di uno strato dell'avvolgimento Secondario</t>
        </r>
      </text>
    </comment>
    <comment ref="G61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Tensione massima ottimizzata (&lt;=350V) tra spira e spira di due strati adiacenti dell'avvolgimento Secondario</t>
        </r>
      </text>
    </comment>
    <comment ref="I61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Numero di strati avvolgimento Secondario</t>
        </r>
      </text>
    </comment>
    <comment ref="J61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Numero di strati eccedenti per l'avvolgimento Secondario</t>
        </r>
      </text>
    </comment>
    <comment ref="K61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Numero di spire strato eccendente avvolgimento Secondario</t>
        </r>
      </text>
    </comment>
    <comment ref="C72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Sezione calcolata dei conduttori
dell'avvolgimento Secondario. Dimensionamento preliminare.</t>
        </r>
      </text>
    </comment>
    <comment ref="E72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Sezione industriale disponibile piattina di Cu per avvolgimento Secondario già isolata.
(tab.XLV pag.2153)</t>
        </r>
      </text>
    </comment>
    <comment ref="F72" authorId="1">
      <text>
        <r>
          <rPr>
            <b/>
            <sz val="9"/>
            <color indexed="81"/>
            <rFont val="Tahoma"/>
            <charset val="1"/>
          </rPr>
          <t>R.Rombi:</t>
        </r>
        <r>
          <rPr>
            <sz val="9"/>
            <color indexed="81"/>
            <rFont val="Tahoma"/>
            <charset val="1"/>
          </rPr>
          <t xml:space="preserve">
Spessore industriale disponibile piattina di Cu per avvolgimento Secondario già isolata.
(tab.XLV pag.2153)</t>
        </r>
      </text>
    </comment>
    <comment ref="G72" authorId="1">
      <text>
        <r>
          <rPr>
            <b/>
            <sz val="9"/>
            <color indexed="81"/>
            <rFont val="Tahoma"/>
            <charset val="1"/>
          </rPr>
          <t>R.Rombi:</t>
        </r>
        <r>
          <rPr>
            <sz val="9"/>
            <color indexed="81"/>
            <rFont val="Tahoma"/>
            <charset val="1"/>
          </rPr>
          <t xml:space="preserve">
Larghezza industriale disponibile piattina di Cu per avvolgimento Secondario già isolata.
(tab.XLV pag.2153)</t>
        </r>
      </text>
    </comment>
    <comment ref="L72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  <family val="2"/>
          </rPr>
          <t>Sezione calcolata dei conduttori
dell'avvolgimento Primario. Dimensionamento preliminare.</t>
        </r>
      </text>
    </comment>
    <comment ref="N72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Sezione industriale disponibile filo di Cu per avvolgimento Primario non isolato.
(tab.XLIII pag.2150)</t>
        </r>
      </text>
    </comment>
    <comment ref="O72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Diametro industriale disponibile filo di Cu per avvolgimento primario.
(tab.XLIII pag.2150)</t>
        </r>
      </text>
    </comment>
    <comment ref="P72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Dimensione di uno strato semplice di vernice isolante.
(tab.XLIII pag.2150)</t>
        </r>
      </text>
    </comment>
    <comment ref="Q72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Dimensione di uno strato doppio di vernice isolante.
(tab.XLIII pag.2150)</t>
        </r>
      </text>
    </comment>
    <comment ref="R72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Dimensione di uno strato triplo di vernice isolante.
(tab.XLIII pag.2150)</t>
        </r>
      </text>
    </comment>
    <comment ref="C81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Spessori dei canali tra avvolgimento b.t. e M.T.
(tab.LXII pag.2183)</t>
        </r>
      </text>
    </comment>
    <comment ref="D81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Dimensione radiale (larghezza) dell'avvolgimento M.T.
(tab.XLIII pag.2150)</t>
        </r>
      </text>
    </comment>
    <comment ref="E81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Dimensioni canale tra Nucleo e avvolgimento B.T. .
(par. 6.1.14 pag.2182)</t>
        </r>
      </text>
    </comment>
    <comment ref="F81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Dimensione radiale (larghezza) dell'avvolgimento B.T. con strato isolante</t>
        </r>
      </text>
    </comment>
    <comment ref="H81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Distanza tra gli avvolgimenti di due colonne adiacenti.
Fig.30 pag.2183.</t>
        </r>
      </text>
    </comment>
    <comment ref="I81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Diametro ø di una bobina
(bt+MT).</t>
        </r>
      </text>
    </comment>
    <comment ref="K81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 xml:space="preserve">Interasse fra le colonne.
Fig.30 pag.2183.
(par.6.1.15 pag.2183)
</t>
        </r>
      </text>
    </comment>
    <comment ref="C88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Sezione di un Giogo
(par.6.1.16 pag.2184)</t>
        </r>
      </text>
    </comment>
    <comment ref="D88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Altezza di un giogo</t>
        </r>
      </text>
    </comment>
    <comment ref="E88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Lunghezza di un giogo</t>
        </r>
      </text>
    </comment>
    <comment ref="G88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Induzione massima nel Giogo.
(Dovrà essere minore che nel Nucleo)</t>
        </r>
      </text>
    </comment>
    <comment ref="I88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Area ferro delle colonne</t>
        </r>
      </text>
    </comment>
    <comment ref="J88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Area ferro dei gioghi</t>
        </r>
      </text>
    </comment>
    <comment ref="L88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Area Rame al Secondario</t>
        </r>
      </text>
    </comment>
    <comment ref="M88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Area Rame al Primario</t>
        </r>
      </text>
    </comment>
    <comment ref="O88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Prevedere per il conservatore di Olio un Volume pari al 5÷8% del Volume di Olio totale.
(par. 6.1.21 pag.2190)</t>
        </r>
      </text>
    </comment>
    <comment ref="C95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Altezza assiale preliminare avvolgimento Primario</t>
        </r>
      </text>
    </comment>
    <comment ref="D95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Altezza di UNA SPIRA M.T. con uno strato di isolante.</t>
        </r>
      </text>
    </comment>
    <comment ref="E95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Altezza assiale avvolgimento Primario</t>
        </r>
      </text>
    </comment>
    <comment ref="G95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Altezza assiale preliminare avvolgimento Secondario</t>
        </r>
      </text>
    </comment>
    <comment ref="H95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Altezza di UNA SPIRA b.t. con uno strato di isolante.
(par. 6.1.11 pag.2182)</t>
        </r>
      </text>
    </comment>
    <comment ref="I95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Altezza assiale avvolgimento Secondario</t>
        </r>
      </text>
    </comment>
    <comment ref="K95" authorId="1">
      <text>
        <r>
          <rPr>
            <b/>
            <sz val="9"/>
            <color indexed="81"/>
            <rFont val="Tahoma"/>
            <family val="2"/>
          </rPr>
          <t>R.Rombi:</t>
        </r>
        <r>
          <rPr>
            <sz val="9"/>
            <color indexed="81"/>
            <rFont val="Tahoma"/>
            <family val="2"/>
          </rPr>
          <t xml:space="preserve">
Dimensione isolamento verso i gioghi.</t>
        </r>
      </text>
    </comment>
    <comment ref="L95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Altezza totale di
una Colonna.
(par. 6.1.13 pag.2182)</t>
        </r>
      </text>
    </comment>
    <comment ref="C106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Lunghezza spira media avvolgimento Primario</t>
        </r>
      </text>
    </comment>
    <comment ref="D106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Peso del Rame Primario</t>
        </r>
      </text>
    </comment>
    <comment ref="F106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Lunghezza spira media avvolgimento Secondario</t>
        </r>
      </text>
    </comment>
    <comment ref="G106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Peso del Rame Secondario</t>
        </r>
      </text>
    </comment>
    <comment ref="I106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Peso del Rame totale</t>
        </r>
      </text>
    </comment>
    <comment ref="K106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Peso del Ferro dei Nuclei</t>
        </r>
      </text>
    </comment>
    <comment ref="L106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Peso del Ferro dei Gioghi</t>
        </r>
      </text>
    </comment>
    <comment ref="N106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Peso del Ferro totale</t>
        </r>
      </text>
    </comment>
    <comment ref="C114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Densita della
Corrente al Primario</t>
        </r>
      </text>
    </comment>
    <comment ref="D114" authorId="1">
      <text>
        <r>
          <rPr>
            <b/>
            <sz val="9"/>
            <color indexed="81"/>
            <rFont val="Tahoma"/>
            <charset val="1"/>
          </rPr>
          <t>R.Rombi:</t>
        </r>
        <r>
          <rPr>
            <sz val="9"/>
            <color indexed="81"/>
            <rFont val="Tahoma"/>
            <charset val="1"/>
          </rPr>
          <t xml:space="preserve">
Fattore di calcolo delle perdite
addizionali nel Rame per sezioni
superiori a 25 mm².
(par.2.2.2 pag.2143 grafico Fig.2)</t>
        </r>
      </text>
    </comment>
    <comment ref="E114" authorId="1">
      <text>
        <r>
          <rPr>
            <b/>
            <sz val="9"/>
            <color indexed="81"/>
            <rFont val="Tahoma"/>
            <family val="2"/>
          </rPr>
          <t>R.Rombi:</t>
        </r>
        <r>
          <rPr>
            <sz val="9"/>
            <color indexed="81"/>
            <rFont val="Tahoma"/>
            <family val="2"/>
          </rPr>
          <t xml:space="preserve">
Perdite di potenza addizionali
nel Rame per sezioni superiori a 25 mm².
(par.2.2.2 pag.2143 grafico Fig.2)</t>
        </r>
      </text>
    </comment>
    <comment ref="F114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Perdite di potenza nel Rame avvolgimento Primario</t>
        </r>
      </text>
    </comment>
    <comment ref="H114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Densita della
Corrente al Secondario</t>
        </r>
      </text>
    </comment>
    <comment ref="I114" authorId="1">
      <text>
        <r>
          <rPr>
            <b/>
            <sz val="9"/>
            <color indexed="81"/>
            <rFont val="Tahoma"/>
            <charset val="1"/>
          </rPr>
          <t>R.Rombi:</t>
        </r>
        <r>
          <rPr>
            <sz val="9"/>
            <color indexed="81"/>
            <rFont val="Tahoma"/>
            <charset val="1"/>
          </rPr>
          <t xml:space="preserve">
Fattore di calcolo delle perdite
addizionali nel Rame per sezioni
superiori a 25 mm².
(par.2.2.2 pag.2143 grafico Fig.2)</t>
        </r>
      </text>
    </comment>
    <comment ref="J114" authorId="1">
      <text>
        <r>
          <rPr>
            <b/>
            <sz val="9"/>
            <color indexed="81"/>
            <rFont val="Tahoma"/>
            <family val="2"/>
          </rPr>
          <t>R.Rombi:</t>
        </r>
        <r>
          <rPr>
            <sz val="9"/>
            <color indexed="81"/>
            <rFont val="Tahoma"/>
            <family val="2"/>
          </rPr>
          <t xml:space="preserve">
Perdite di potenza addizionali
nel Rame per sezioni superiori a 25 mm².
(par.2.2.2 pag.2143 grafico Fig.2)</t>
        </r>
      </text>
    </comment>
    <comment ref="K114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Perdite di potenza nel Rame avvolgimento Secondario</t>
        </r>
      </text>
    </comment>
    <comment ref="M114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Perdite di potenza totali nel Rame
(perdite a carico)</t>
        </r>
      </text>
    </comment>
    <comment ref="O114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Perdite di potenza nel ferro dei Nuclei.
(par.4.3.3 pag.2169)</t>
        </r>
      </text>
    </comment>
    <comment ref="P114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Perdite di potenza
nel ferro dei Gioghi.
(par.4.3.3 pag.2169)</t>
        </r>
      </text>
    </comment>
    <comment ref="Q114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Perdite di potenza totali nel Ferro (o perdite a vuoto) riferite alla Tensione e Frequenza nominale.
(qui maggiorata del 20% considerando l'invecchiamento delle lamiere)</t>
        </r>
      </text>
    </comment>
    <comment ref="S114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Rapporto perdite Rame/Ferro.
In base alla possibile curva del carico alimentato, il valore medio della Potenza richiesta, cioè la Potenza di massimo rendimento, il rapporto fra le Perdite nel Rame e quelle nel Ferro deve essere compreso tra 3,5÷5,5 .
Se non dovesse risultare entro i limiti suddetti modificare i valori degli elementi di calcolo C, Bn, ∆₁, ∆₂, .</t>
        </r>
      </text>
    </comment>
    <comment ref="C121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Amperspire per i due traferri.</t>
        </r>
      </text>
    </comment>
    <comment ref="D121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Amperspire per le tre colonne.</t>
        </r>
      </text>
    </comment>
    <comment ref="E121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Lunghezza circuito magnetico.</t>
        </r>
      </text>
    </comment>
    <comment ref="F121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Corrente magnetizzante.</t>
        </r>
      </text>
    </comment>
    <comment ref="G121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Essendo il collegamento dell'avvolgimento Primario
a triangolo si calcola Im.</t>
        </r>
      </text>
    </comment>
    <comment ref="H121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Componente attiva
della corrente a vuoto.</t>
        </r>
      </text>
    </comment>
    <comment ref="I121" authorId="0">
      <text>
        <r>
          <rPr>
            <b/>
            <sz val="9"/>
            <color rgb="FF000000"/>
            <rFont val="Tahoma"/>
          </rPr>
          <t xml:space="preserve">R.Rombi:
</t>
        </r>
        <r>
          <rPr>
            <sz val="9"/>
            <color rgb="FF000000"/>
            <rFont val="Tahoma"/>
          </rPr>
          <t>Corrente a Vuoto.</t>
        </r>
      </text>
    </comment>
    <comment ref="J121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Corrente a vuoto % riferito alla corrente di pieno carico.
(tab.LXIII pag.2186)</t>
        </r>
      </text>
    </comment>
    <comment ref="L121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Fattore di Potenza a vuoto.</t>
        </r>
      </text>
    </comment>
    <comment ref="M121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Il Rendimento è massimo quando le perdite a vuoto sono uguali alle perdite a carico.</t>
        </r>
      </text>
    </comment>
    <comment ref="D131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Reattanza equivalente al Secondario</t>
        </r>
      </text>
    </comment>
    <comment ref="E131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Caduta di tensione % Resistiva</t>
        </r>
      </text>
    </comment>
    <comment ref="F131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Caduta di tensione Reattiva</t>
        </r>
      </text>
    </comment>
    <comment ref="G131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Resistenza equivalente
al Secondario.</t>
        </r>
      </text>
    </comment>
    <comment ref="H131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Caduta di tensione %</t>
        </r>
      </text>
    </comment>
    <comment ref="I131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Tensione di Corto Circuito %</t>
        </r>
      </text>
    </comment>
    <comment ref="L131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Fattore di Potenza
di Corto Circuito %.</t>
        </r>
      </text>
    </comment>
    <comment ref="C139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Area ferro delle colonne</t>
        </r>
      </text>
    </comment>
    <comment ref="D139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Area ferro dei gioghi</t>
        </r>
      </text>
    </comment>
    <comment ref="E139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Sopraelevazione di temperatura nel Ferro rispetto all'olio.
Valori attendibili ϑ°fe=1÷20°C</t>
        </r>
      </text>
    </comment>
    <comment ref="H139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Sopraelevazione di temperatura nell'avvolgimento Primario M.T. rispetto all'olio.
Valori attendibili ϑ°cu₁=8÷20°C</t>
        </r>
      </text>
    </comment>
    <comment ref="I139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Sopraelevazione di temperatura nell'avvolgimento Secondario
b.t.  rispetto all'olio.
Valori attendibili ϑ°cu₂=8÷20°C</t>
        </r>
      </text>
    </comment>
    <comment ref="J139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Sovratemperatura MEDIA degli avvolgimenti sull'ambiente (65°C).</t>
        </r>
      </text>
    </comment>
    <comment ref="C157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Distanza minima tra cassone
e avvolgimenti esterni.</t>
        </r>
      </text>
    </comment>
    <comment ref="E157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Altezza minima del cassone. Da verificare con le disponibilità industriali.</t>
        </r>
      </text>
    </comment>
    <comment ref="F157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Lunghezza minima del cassone. Da verificare con le disponibilità industriali.</t>
        </r>
      </text>
    </comment>
    <comment ref="G157" authorId="0">
      <text>
        <r>
          <rPr>
            <b/>
            <sz val="9"/>
            <color rgb="FF000000"/>
            <rFont val="Tahoma"/>
            <family val="2"/>
          </rPr>
          <t xml:space="preserve">R.Rombi:
</t>
        </r>
        <r>
          <rPr>
            <sz val="9"/>
            <color rgb="FF000000"/>
            <rFont val="Tahoma"/>
            <family val="2"/>
          </rPr>
          <t>Larghezza minima del cassone. Da verificare con le disponibilità industriali.</t>
        </r>
      </text>
    </comment>
  </commentList>
</comments>
</file>

<file path=xl/sharedStrings.xml><?xml version="1.0" encoding="utf-8"?>
<sst xmlns="http://schemas.openxmlformats.org/spreadsheetml/2006/main" count="1187" uniqueCount="608">
  <si>
    <t>DIMENSIONAMENTO DI MASSIMA DI UN</t>
  </si>
  <si>
    <t>TRASFORMATORE TRIFASE A COLONNE</t>
  </si>
  <si>
    <t>CON RAFFREDDAMENTO IN OLIO NATURALE</t>
  </si>
  <si>
    <t>Procedimenti, grafici, grandezze e diagrammi</t>
  </si>
  <si>
    <t>Valori inseriti e modificabili dall'utente</t>
  </si>
  <si>
    <t>considerati dal programma fanno riferimento al</t>
  </si>
  <si>
    <t>MANUALE DEL PERITO INDUSTRIALE</t>
  </si>
  <si>
    <t>Valori calcolati</t>
  </si>
  <si>
    <t>Ed. Cremonese 1989</t>
  </si>
  <si>
    <t>Versione 2.0 - 2021 per Microsoft EXCEL</t>
  </si>
  <si>
    <t>a cura di</t>
  </si>
  <si>
    <t>ROMBI p.i. REMO</t>
  </si>
  <si>
    <t>[ Ad uso esclusivamente didattico per gli allievi degli ]</t>
  </si>
  <si>
    <t>[ Istituti Tecnici Superiori a indirizzo Elettrotecnico ]</t>
  </si>
  <si>
    <t>conversione dalla versione originale</t>
  </si>
  <si>
    <t>v.1.0 del 1993 su LOTUS 1 2 3 wysiwyg</t>
  </si>
  <si>
    <r>
      <rPr>
        <b/>
        <sz val="11"/>
        <color rgb="FF000000"/>
        <rFont val="Calibri"/>
        <family val="2"/>
      </rPr>
      <t>par. 4.3.1 pag.2168</t>
    </r>
    <r>
      <rPr>
        <sz val="11"/>
        <color rgb="FF000000"/>
        <rFont val="Calibri"/>
        <family val="2"/>
      </rPr>
      <t xml:space="preserve"> - Classificazione delle lamiere</t>
    </r>
  </si>
  <si>
    <t>Esempio di sigla di identificazione delle lamiere (UNEL 01111)</t>
  </si>
  <si>
    <t>Tipo</t>
  </si>
  <si>
    <t>Sigla</t>
  </si>
  <si>
    <r>
      <rPr>
        <b/>
        <sz val="11"/>
        <color rgb="FF000000"/>
        <rFont val="Calibri"/>
        <family val="2"/>
      </rPr>
      <t xml:space="preserve">T 085 35 800 </t>
    </r>
    <r>
      <rPr>
        <sz val="11"/>
        <color rgb="FF000000"/>
        <rFont val="Calibri"/>
        <family val="2"/>
      </rPr>
      <t>x</t>
    </r>
    <r>
      <rPr>
        <b/>
        <sz val="11"/>
        <color rgb="FF000000"/>
        <rFont val="Calibri"/>
        <family val="2"/>
      </rPr>
      <t xml:space="preserve"> L P₁ , ACR</t>
    </r>
  </si>
  <si>
    <t>Non acidulate (ossidate)</t>
  </si>
  <si>
    <t>(NAC)</t>
  </si>
  <si>
    <t>Acidulate e ricotte (verniciate)</t>
  </si>
  <si>
    <t>(ACR)</t>
  </si>
  <si>
    <t>T</t>
  </si>
  <si>
    <t>Classe</t>
  </si>
  <si>
    <t>Ricotte e acidulate (verniciate)</t>
  </si>
  <si>
    <t>(RAC)</t>
  </si>
  <si>
    <t>0,85</t>
  </si>
  <si>
    <t>Cifra di Perdita in W/Kg</t>
  </si>
  <si>
    <t>Acidulate, ricotte, acidulate (verniciate)</t>
  </si>
  <si>
    <t>(ARA)</t>
  </si>
  <si>
    <t>0,35</t>
  </si>
  <si>
    <t>Spessore in mm</t>
  </si>
  <si>
    <t>Larghezza in mm</t>
  </si>
  <si>
    <r>
      <rPr>
        <sz val="11"/>
        <color rgb="FF000000"/>
        <rFont val="Calibri"/>
        <family val="2"/>
      </rPr>
      <t xml:space="preserve">Classe </t>
    </r>
    <r>
      <rPr>
        <b/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 xml:space="preserve"> (NAC); (ACR)</t>
    </r>
  </si>
  <si>
    <t>L</t>
  </si>
  <si>
    <t>Lunghezza in mm (1600, 2000 o indefinita)</t>
  </si>
  <si>
    <t>Cifra di Perdita</t>
  </si>
  <si>
    <t>3,5÷2,3</t>
  </si>
  <si>
    <t>W/Kgf</t>
  </si>
  <si>
    <t>P</t>
  </si>
  <si>
    <t>se riferita a B₀ = 1 Wb/m², sigla P</t>
  </si>
  <si>
    <t>spessore</t>
  </si>
  <si>
    <t>0,5</t>
  </si>
  <si>
    <t>mm</t>
  </si>
  <si>
    <t>se riferita a B₀ = 1,5 Wb/m², sigla P₁</t>
  </si>
  <si>
    <t>ρ</t>
  </si>
  <si>
    <t>15÷30</t>
  </si>
  <si>
    <t>µΩ cm</t>
  </si>
  <si>
    <t>largezza lamiera</t>
  </si>
  <si>
    <t>Dai grafici delle curve di magnetizzazione dei materiali (fig.12-pag.2169)</t>
  </si>
  <si>
    <t>Impiego:</t>
  </si>
  <si>
    <t>si suggerisce la scelta di Lamiere a Cristalli Orientati (0,8 W/kg)</t>
  </si>
  <si>
    <t>piccole e medie macchine ruotanti,</t>
  </si>
  <si>
    <r>
      <rPr>
        <sz val="11"/>
        <color rgb="FF000000"/>
        <rFont val="Calibri"/>
        <family val="2"/>
      </rPr>
      <t>riferendosi alla curva -</t>
    </r>
    <r>
      <rPr>
        <b/>
        <sz val="11"/>
        <color rgb="FF000000"/>
        <rFont val="Calibri"/>
        <family val="2"/>
      </rPr>
      <t>A-</t>
    </r>
    <r>
      <rPr>
        <sz val="11"/>
        <color rgb="FF000000"/>
        <rFont val="Calibri"/>
        <family val="2"/>
      </rPr>
      <t xml:space="preserve"> per le colonne e alla curva -</t>
    </r>
    <r>
      <rPr>
        <b/>
        <sz val="11"/>
        <color rgb="FF000000"/>
        <rFont val="Calibri"/>
        <family val="2"/>
      </rPr>
      <t>a-</t>
    </r>
    <r>
      <rPr>
        <sz val="11"/>
        <color rgb="FF000000"/>
        <rFont val="Calibri"/>
        <family val="2"/>
      </rPr>
      <t xml:space="preserve"> per i gioghi</t>
    </r>
  </si>
  <si>
    <t>piccoli trasformatori, induttori su nucleo</t>
  </si>
  <si>
    <r>
      <rPr>
        <sz val="11"/>
        <color rgb="FF000000"/>
        <rFont val="Calibri"/>
        <family val="2"/>
      </rPr>
      <t xml:space="preserve">Classe </t>
    </r>
    <r>
      <rPr>
        <b/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 xml:space="preserve"> (ACR); (ARA)</t>
    </r>
  </si>
  <si>
    <t>2,3÷1,3</t>
  </si>
  <si>
    <t>0,5÷0,35</t>
  </si>
  <si>
    <t>30÷40</t>
  </si>
  <si>
    <t>medie e grosse macchine ruotanti,</t>
  </si>
  <si>
    <t>piccoli trasformatori</t>
  </si>
  <si>
    <r>
      <rPr>
        <sz val="11"/>
        <color rgb="FF000000"/>
        <rFont val="Calibri"/>
        <family val="2"/>
      </rPr>
      <t xml:space="preserve">Classe </t>
    </r>
    <r>
      <rPr>
        <b/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 xml:space="preserve"> (ACR); (NAC)</t>
    </r>
  </si>
  <si>
    <t>1,1÷0,6</t>
  </si>
  <si>
    <t>0,35÷0,28</t>
  </si>
  <si>
    <t>45÷60</t>
  </si>
  <si>
    <t>300÷800</t>
  </si>
  <si>
    <t>grandi macchine ruotanti, trasformatori</t>
  </si>
  <si>
    <r>
      <rPr>
        <sz val="11"/>
        <color rgb="FF000000"/>
        <rFont val="Calibri"/>
        <family val="2"/>
      </rPr>
      <t xml:space="preserve">Classe </t>
    </r>
    <r>
      <rPr>
        <b/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 xml:space="preserve"> (NAC)</t>
    </r>
  </si>
  <si>
    <t>1÷2</t>
  </si>
  <si>
    <t>lamiera di testa del pacco, poli o scarpe</t>
  </si>
  <si>
    <t>polari di macchine ruotanti</t>
  </si>
  <si>
    <t>DIMENSIONAMENTO DI MASSIMA DI UN TRASFORMATORE TRIFASE A COLONNE CON ISOLAMENTO IN OLIO NATURALE</t>
  </si>
  <si>
    <t>INSERIMENTO DELLE SPECIFICHE PER IL CALCOLO</t>
  </si>
  <si>
    <t>f</t>
  </si>
  <si>
    <t>U₁</t>
  </si>
  <si>
    <t>U₂</t>
  </si>
  <si>
    <t>C</t>
  </si>
  <si>
    <t>∆₁</t>
  </si>
  <si>
    <t>∆₂</t>
  </si>
  <si>
    <t>Aassiale</t>
  </si>
  <si>
    <t>n.gradini</t>
  </si>
  <si>
    <t>cos ϕ</t>
  </si>
  <si>
    <t>tipo lam</t>
  </si>
  <si>
    <t>Bn</t>
  </si>
  <si>
    <t>Kt</t>
  </si>
  <si>
    <t>Ks</t>
  </si>
  <si>
    <t>Isol/B.T.</t>
  </si>
  <si>
    <t>δ₂</t>
  </si>
  <si>
    <t>Hz</t>
  </si>
  <si>
    <t>kVA</t>
  </si>
  <si>
    <t>kV</t>
  </si>
  <si>
    <t>V</t>
  </si>
  <si>
    <t>A/mm²</t>
  </si>
  <si>
    <t>As/cm</t>
  </si>
  <si>
    <t>W/Kg</t>
  </si>
  <si>
    <t>°C</t>
  </si>
  <si>
    <t>DETERMINAZIONE DELLE PRINCIPALI GRANDEZZE ELETTRICHE</t>
  </si>
  <si>
    <t>effettivo</t>
  </si>
  <si>
    <t>U₀₂</t>
  </si>
  <si>
    <t>I₀%</t>
  </si>
  <si>
    <t>I₁</t>
  </si>
  <si>
    <t>i₁</t>
  </si>
  <si>
    <t>I₂</t>
  </si>
  <si>
    <t>i₂</t>
  </si>
  <si>
    <t>Up</t>
  </si>
  <si>
    <t>Φ</t>
  </si>
  <si>
    <t>%</t>
  </si>
  <si>
    <t>A</t>
  </si>
  <si>
    <t>Wb</t>
  </si>
  <si>
    <t>SEZIONE E FORMA DEL NUCLEO A COLONNA (fig.27 pag.2180)</t>
  </si>
  <si>
    <t>Forma della sezione del nucleo</t>
  </si>
  <si>
    <t>Nucleo a 2 gradini</t>
  </si>
  <si>
    <t>Nucleo a 3 gradini</t>
  </si>
  <si>
    <t>Nucleo a 4 gradini</t>
  </si>
  <si>
    <t>Sn</t>
  </si>
  <si>
    <t>Sc</t>
  </si>
  <si>
    <t>Dc</t>
  </si>
  <si>
    <t>Dc₂</t>
  </si>
  <si>
    <t>m</t>
  </si>
  <si>
    <t>Dc₃</t>
  </si>
  <si>
    <t>Dc₄</t>
  </si>
  <si>
    <t>m²</t>
  </si>
  <si>
    <t>NUMERO SPIRE E SEZIONE DEI CONDUTTORI</t>
  </si>
  <si>
    <t>prelimin</t>
  </si>
  <si>
    <r>
      <rPr>
        <sz val="11"/>
        <color rgb="FF000000"/>
        <rFont val="Calibri"/>
        <family val="2"/>
      </rPr>
      <t xml:space="preserve">Si determina il </t>
    </r>
    <r>
      <rPr>
        <i/>
        <sz val="11"/>
        <color rgb="FF000000"/>
        <rFont val="Calibri"/>
        <family val="2"/>
      </rPr>
      <t>numero di spire di uno strato</t>
    </r>
    <r>
      <rPr>
        <sz val="11"/>
        <color rgb="FF000000"/>
        <rFont val="Calibri"/>
        <family val="2"/>
      </rPr>
      <t xml:space="preserve"> (</t>
    </r>
    <r>
      <rPr>
        <b/>
        <sz val="11"/>
        <color rgb="FF000000"/>
        <rFont val="Calibri"/>
        <family val="2"/>
      </rPr>
      <t>Ns₁st</t>
    </r>
    <r>
      <rPr>
        <sz val="11"/>
        <color rgb="FF000000"/>
        <rFont val="Calibri"/>
        <family val="2"/>
      </rPr>
      <t>) in funzione del fatto che</t>
    </r>
  </si>
  <si>
    <t>e</t>
  </si>
  <si>
    <t>N₁</t>
  </si>
  <si>
    <t>N₂</t>
  </si>
  <si>
    <t>s₁</t>
  </si>
  <si>
    <t>s₂</t>
  </si>
  <si>
    <t>Ns₁st</t>
  </si>
  <si>
    <t>Vmax-ss1</t>
  </si>
  <si>
    <t>Ns₁ok</t>
  </si>
  <si>
    <t>Vmax-1ok</t>
  </si>
  <si>
    <t>N₁strati</t>
  </si>
  <si>
    <t>N₁str-ecc</t>
  </si>
  <si>
    <t>N₁sp-ecc</t>
  </si>
  <si>
    <r>
      <rPr>
        <sz val="11"/>
        <color rgb="FF000000"/>
        <rFont val="Calibri"/>
        <family val="2"/>
      </rPr>
      <t xml:space="preserve">la tensione massima tra spira e spira di due strati adiacenti </t>
    </r>
    <r>
      <rPr>
        <b/>
        <sz val="11"/>
        <color rgb="FF000000"/>
        <rFont val="Calibri"/>
        <family val="2"/>
      </rPr>
      <t>NON DEVE SUPERARE GLI 850 V</t>
    </r>
    <r>
      <rPr>
        <sz val="11"/>
        <color rgb="FF000000"/>
        <rFont val="Calibri"/>
        <family val="2"/>
      </rPr>
      <t>.</t>
    </r>
  </si>
  <si>
    <t>V/spira</t>
  </si>
  <si>
    <t>spire</t>
  </si>
  <si>
    <t>mm²</t>
  </si>
  <si>
    <t>strati</t>
  </si>
  <si>
    <r>
      <rPr>
        <sz val="11"/>
        <color rgb="FF000000"/>
        <rFont val="Calibri"/>
        <family val="2"/>
      </rPr>
      <t xml:space="preserve">Si determina il </t>
    </r>
    <r>
      <rPr>
        <i/>
        <sz val="11"/>
        <color rgb="FF000000"/>
        <rFont val="Calibri"/>
        <family val="2"/>
      </rPr>
      <t>numero di spire di uno strato</t>
    </r>
    <r>
      <rPr>
        <sz val="11"/>
        <color rgb="FF000000"/>
        <rFont val="Calibri"/>
        <family val="2"/>
      </rPr>
      <t xml:space="preserve"> (</t>
    </r>
    <r>
      <rPr>
        <b/>
        <sz val="11"/>
        <color rgb="FF000000"/>
        <rFont val="Calibri"/>
        <family val="2"/>
      </rPr>
      <t>Ns₂st</t>
    </r>
    <r>
      <rPr>
        <sz val="11"/>
        <color rgb="FF000000"/>
        <rFont val="Calibri"/>
        <family val="2"/>
      </rPr>
      <t>) in funzione del fatto che</t>
    </r>
  </si>
  <si>
    <t>Ns₂st</t>
  </si>
  <si>
    <t>Vmax-ss2</t>
  </si>
  <si>
    <t>Ns₂ok</t>
  </si>
  <si>
    <t>Vmax-2ok</t>
  </si>
  <si>
    <t>N₂strati</t>
  </si>
  <si>
    <t>N₂str-ecc</t>
  </si>
  <si>
    <t>N₂sp-ecc</t>
  </si>
  <si>
    <r>
      <rPr>
        <sz val="11"/>
        <color rgb="FF000000"/>
        <rFont val="Calibri"/>
        <family val="2"/>
      </rPr>
      <t xml:space="preserve">la tensione massima tra spira e spira di due strati adiacenti </t>
    </r>
    <r>
      <rPr>
        <b/>
        <sz val="11"/>
        <color rgb="FF000000"/>
        <rFont val="Calibri"/>
        <family val="2"/>
      </rPr>
      <t>NON DEVE SUPERARE I 350 V</t>
    </r>
    <r>
      <rPr>
        <sz val="11"/>
        <color rgb="FF000000"/>
        <rFont val="Calibri"/>
        <family val="2"/>
      </rPr>
      <t>.</t>
    </r>
  </si>
  <si>
    <t>S₂ indust.</t>
  </si>
  <si>
    <t>Spessore</t>
  </si>
  <si>
    <t>Larghezza</t>
  </si>
  <si>
    <t>S₁ indust.</t>
  </si>
  <si>
    <t>ø nom.</t>
  </si>
  <si>
    <t>semplice</t>
  </si>
  <si>
    <t>doppio</t>
  </si>
  <si>
    <t>triplo</t>
  </si>
  <si>
    <t>LUNGHEZZE-ALTEZZE-DIMENSIONI RADIALI-INTERASSI-SEZIONI-AREE-VOLUMI</t>
  </si>
  <si>
    <t>δ₁</t>
  </si>
  <si>
    <t>a₁</t>
  </si>
  <si>
    <t>a₂</t>
  </si>
  <si>
    <t>δ</t>
  </si>
  <si>
    <t>D</t>
  </si>
  <si>
    <t>b</t>
  </si>
  <si>
    <t>Sg</t>
  </si>
  <si>
    <t>hg</t>
  </si>
  <si>
    <t>Lg</t>
  </si>
  <si>
    <t>Bg</t>
  </si>
  <si>
    <t>Afec</t>
  </si>
  <si>
    <t>Afeg</t>
  </si>
  <si>
    <t>Acu₂</t>
  </si>
  <si>
    <t>Acu₁</t>
  </si>
  <si>
    <t>Vol-olio</t>
  </si>
  <si>
    <t>Wb/m²</t>
  </si>
  <si>
    <t>par. 6.1.21 pag.2190</t>
  </si>
  <si>
    <r>
      <rPr>
        <sz val="11"/>
        <color rgb="FF000000"/>
        <rFont val="Calibri"/>
        <family val="2"/>
      </rPr>
      <t xml:space="preserve">Bobina avvolg. </t>
    </r>
    <r>
      <rPr>
        <b/>
        <sz val="11"/>
        <color rgb="FF000000"/>
        <rFont val="Calibri"/>
        <family val="2"/>
      </rPr>
      <t>M.T.</t>
    </r>
  </si>
  <si>
    <r>
      <rPr>
        <sz val="11"/>
        <color rgb="FF000000"/>
        <rFont val="Calibri"/>
        <family val="2"/>
      </rPr>
      <t xml:space="preserve">Bobina avvolg. </t>
    </r>
    <r>
      <rPr>
        <b/>
        <sz val="11"/>
        <color rgb="FF000000"/>
        <rFont val="Calibri"/>
        <family val="2"/>
      </rPr>
      <t>b.t.</t>
    </r>
  </si>
  <si>
    <t>h₁</t>
  </si>
  <si>
    <t>a₁/spira</t>
  </si>
  <si>
    <t>hmt</t>
  </si>
  <si>
    <t>h₂</t>
  </si>
  <si>
    <t>a₂/spira</t>
  </si>
  <si>
    <t>hbt</t>
  </si>
  <si>
    <t>h'</t>
  </si>
  <si>
    <t>h</t>
  </si>
  <si>
    <t>cm</t>
  </si>
  <si>
    <t>PESO DEL RAME (peso specifico: 8960 kg/m³)       87897,6 N/m3</t>
  </si>
  <si>
    <t>lm₁</t>
  </si>
  <si>
    <t>Qcu₁</t>
  </si>
  <si>
    <t>lm₂</t>
  </si>
  <si>
    <t>Qcu₂</t>
  </si>
  <si>
    <t>Qcu</t>
  </si>
  <si>
    <t>kg</t>
  </si>
  <si>
    <t>PESO DEL FERRO (peso specifico: 7874 kg/m³)</t>
  </si>
  <si>
    <t>Qfen</t>
  </si>
  <si>
    <t>Qfeg</t>
  </si>
  <si>
    <t>Qfe</t>
  </si>
  <si>
    <t>VERIFICHE DEL COMPORTAMENTO ELETTRICO</t>
  </si>
  <si>
    <t>K'</t>
  </si>
  <si>
    <t>Pcu₁</t>
  </si>
  <si>
    <t>K"</t>
  </si>
  <si>
    <t>Pcu₂</t>
  </si>
  <si>
    <t>Pcu</t>
  </si>
  <si>
    <t>Pfen</t>
  </si>
  <si>
    <t>Pfeg</t>
  </si>
  <si>
    <t>Pfe</t>
  </si>
  <si>
    <t>Pcu/Pfe</t>
  </si>
  <si>
    <t>W</t>
  </si>
  <si>
    <t>spessore traferro = 0.03mm</t>
  </si>
  <si>
    <t>Aspt</t>
  </si>
  <si>
    <t>Aspc</t>
  </si>
  <si>
    <t>Nim</t>
  </si>
  <si>
    <t>im</t>
  </si>
  <si>
    <t>Im</t>
  </si>
  <si>
    <t>Iw</t>
  </si>
  <si>
    <t>I₀</t>
  </si>
  <si>
    <t>cos ϕ₀</t>
  </si>
  <si>
    <t>Asp</t>
  </si>
  <si>
    <t>SUPPONENDO UN CARICO CON fattore-di-potenza cos ϕ₂=1 SI DETERMINANO</t>
  </si>
  <si>
    <t>supposto</t>
  </si>
  <si>
    <t>cos ϕ₂</t>
  </si>
  <si>
    <t>X"</t>
  </si>
  <si>
    <t>Ur%</t>
  </si>
  <si>
    <t>Ux%</t>
  </si>
  <si>
    <t>R"</t>
  </si>
  <si>
    <t>∆V%</t>
  </si>
  <si>
    <t>Ucc%</t>
  </si>
  <si>
    <t>cos ϕcc</t>
  </si>
  <si>
    <t>Ω</t>
  </si>
  <si>
    <t>VERIFICA DELLE TEMPERATURE</t>
  </si>
  <si>
    <t>ϑ°fe</t>
  </si>
  <si>
    <t>ϑ°cu₁</t>
  </si>
  <si>
    <t>ϑ°cu₂</t>
  </si>
  <si>
    <t>ϑ°cu</t>
  </si>
  <si>
    <t>DIMENSIONI MINIME DEL CASSONE (approssimative, da verificare con le disponibilità industriali)</t>
  </si>
  <si>
    <t>par.6.1.20 pag.2187, 2188, 2189</t>
  </si>
  <si>
    <r>
      <rPr>
        <sz val="11"/>
        <color rgb="FF000000"/>
        <rFont val="Calibri"/>
        <family val="2"/>
      </rPr>
      <t xml:space="preserve">La distanza minima </t>
    </r>
    <r>
      <rPr>
        <b/>
        <sz val="11"/>
        <color rgb="FF000000"/>
        <rFont val="Calibri"/>
        <family val="2"/>
      </rPr>
      <t>δ₃</t>
    </r>
    <r>
      <rPr>
        <sz val="11"/>
        <color rgb="FF000000"/>
        <rFont val="Calibri"/>
        <family val="2"/>
      </rPr>
      <t xml:space="preserve"> tra cassone ed avvolgimenti esterni dovrà essere di circa 2,5 x </t>
    </r>
    <r>
      <rPr>
        <b/>
        <sz val="11"/>
        <color rgb="FF000000"/>
        <rFont val="Calibri"/>
        <family val="2"/>
      </rPr>
      <t>δ₁</t>
    </r>
    <r>
      <rPr>
        <sz val="11"/>
        <color rgb="FF000000"/>
        <rFont val="Calibri"/>
        <family val="2"/>
      </rPr>
      <t xml:space="preserve"> .</t>
    </r>
  </si>
  <si>
    <t>Note quindi le dimensioni del trasformatore, le dimensioni limite del cassone saranno individuate.</t>
  </si>
  <si>
    <t>Volume dell'olio</t>
  </si>
  <si>
    <t>Scelto un certo tipo di Cassone (ogni ditta ha i suoi) la sopraelevazione di</t>
  </si>
  <si>
    <r>
      <rPr>
        <sz val="11"/>
        <color rgb="FF000000"/>
        <rFont val="Calibri"/>
        <family val="2"/>
      </rPr>
      <t xml:space="preserve">temperatura dell'Olio sarà compresa nei valori prudenziali </t>
    </r>
    <r>
      <rPr>
        <b/>
        <sz val="11"/>
        <color rgb="FF000000"/>
        <rFont val="Calibri"/>
        <family val="2"/>
      </rPr>
      <t>ϑ°fe = 42÷45°C</t>
    </r>
  </si>
  <si>
    <t>δ₃</t>
  </si>
  <si>
    <t>δ₄</t>
  </si>
  <si>
    <t>btnt</t>
  </si>
  <si>
    <t>Lung</t>
  </si>
  <si>
    <t>Larg</t>
  </si>
  <si>
    <t>tab.LXV pag.2190 Caratteristiche dei trasformatori in olio (MT-BT)</t>
  </si>
  <si>
    <t>Potenza nominale</t>
  </si>
  <si>
    <t>Perdite</t>
  </si>
  <si>
    <t>Corrente a vuoto</t>
  </si>
  <si>
    <t>Tensione c.c.</t>
  </si>
  <si>
    <t>Rendimenti</t>
  </si>
  <si>
    <t>Pesi</t>
  </si>
  <si>
    <t>Dim. Appross.</t>
  </si>
  <si>
    <t>W₀</t>
  </si>
  <si>
    <t>Wcc</t>
  </si>
  <si>
    <t>a pieno carico</t>
  </si>
  <si>
    <t>a 3/4 di carico</t>
  </si>
  <si>
    <t>a 1/2 carico</t>
  </si>
  <si>
    <t>Fe</t>
  </si>
  <si>
    <t>Cu</t>
  </si>
  <si>
    <t>Parte estraibile</t>
  </si>
  <si>
    <t>Olio</t>
  </si>
  <si>
    <t>Totale</t>
  </si>
  <si>
    <t>Pianta</t>
  </si>
  <si>
    <t>Altezza globale</t>
  </si>
  <si>
    <t>cos ϕ 1</t>
  </si>
  <si>
    <t>cos ϕ 0.8</t>
  </si>
  <si>
    <t>kgf</t>
  </si>
  <si>
    <t>mm x mm</t>
  </si>
  <si>
    <t>PESO DEL RAME (Ps: 8960 kg/m³) - PESO DEL FERRO (Ps: 7874 kg/m³)</t>
  </si>
  <si>
    <t>pag.7/12</t>
  </si>
  <si>
    <t>Descrizione</t>
  </si>
  <si>
    <t>Simbolo</t>
  </si>
  <si>
    <t>Valore</t>
  </si>
  <si>
    <t>Misura</t>
  </si>
  <si>
    <t>Lunghezza spira media avvolgimento Primario</t>
  </si>
  <si>
    <t>Lunghezza spira media avvolgimento Secondario</t>
  </si>
  <si>
    <t>Peso del Rame avvolgimento Primario</t>
  </si>
  <si>
    <t>Peso del Rame avvolgimento Secondario</t>
  </si>
  <si>
    <t>Peso totale del Rame</t>
  </si>
  <si>
    <t>Peso del Ferro nei Nuclei (Colonne)</t>
  </si>
  <si>
    <t>Peso del Ferro nei Gioghi</t>
  </si>
  <si>
    <t>Peso totale del Ferro</t>
  </si>
  <si>
    <t>Procedimenti, grafici, diagrammi e valori</t>
  </si>
  <si>
    <t>[ A uso esclusivamente didattico per gli allievi degli ]</t>
  </si>
  <si>
    <t>SPECIFICHE E IMPOSTAZIONI PER LA BASE DEI CALCOLI</t>
  </si>
  <si>
    <t>pag.2/12</t>
  </si>
  <si>
    <t>pag.8/12</t>
  </si>
  <si>
    <t>Frequenza della Tensione di Rete</t>
  </si>
  <si>
    <t>Densità di corrente al Primario (calcolata)</t>
  </si>
  <si>
    <t>Potenza Apparente Nominale</t>
  </si>
  <si>
    <t>Densità di corrente al Secondario (calcolata)</t>
  </si>
  <si>
    <t>Tensione Nominale Primaria</t>
  </si>
  <si>
    <t>Tensione Nominale Secondaria (a Stella+Neutro)</t>
  </si>
  <si>
    <t>Perdite di Potenza nel Rame avvolgimento Primario</t>
  </si>
  <si>
    <t>Perdite di Potenza nel Rame avvolgimento Secondario</t>
  </si>
  <si>
    <t>Collegamento della Fasi Primarie (a Triangolo)</t>
  </si>
  <si>
    <t>∆</t>
  </si>
  <si>
    <t>---</t>
  </si>
  <si>
    <t>Perdite di Potenza totali nel Rame</t>
  </si>
  <si>
    <t>Collegamento della Fasi Secondarie (a Stella)</t>
  </si>
  <si>
    <t>Υ</t>
  </si>
  <si>
    <t>Perdite di Potenza nel Ferro dei Nuclei</t>
  </si>
  <si>
    <t>Prese di regolazione dell'avvolgimento Primario</t>
  </si>
  <si>
    <t>R%</t>
  </si>
  <si>
    <t>Perdite di Potenza nel Ferro dei Gioghi</t>
  </si>
  <si>
    <t>Perdite di Potenza totali nel Ferro (maggioratedel 20%)</t>
  </si>
  <si>
    <t>Densità di corrente al Primario</t>
  </si>
  <si>
    <t>Densità di corrente al Secondario</t>
  </si>
  <si>
    <t>Rapporto perdite Rame/Ferro</t>
  </si>
  <si>
    <t>Induzione massima nel Nucleo</t>
  </si>
  <si>
    <t>Lunghezza circuito magnetico</t>
  </si>
  <si>
    <t>Tipo di lamiera per colonne e gioghi</t>
  </si>
  <si>
    <t>Numero di gradini del Nucleo</t>
  </si>
  <si>
    <t>Coefficiente di stipamento lamiere</t>
  </si>
  <si>
    <t>Corrente a vuoto % riferito alla corrente di pieno carico</t>
  </si>
  <si>
    <t>Massima altezza assiale</t>
  </si>
  <si>
    <t>Fattore di Potenza a vuoto</t>
  </si>
  <si>
    <t>Sovratemperatura media degli avvolgimenti sull'ambiente</t>
  </si>
  <si>
    <t>Sovratemperatura massima dell'olio nell'ambiente</t>
  </si>
  <si>
    <t>ϑ°olio</t>
  </si>
  <si>
    <t>Fattore di utilizzazione</t>
  </si>
  <si>
    <t>Coefficiente di temperatura</t>
  </si>
  <si>
    <t>Reattanza equivalente al Secondario</t>
  </si>
  <si>
    <t>Resistenza equivalente al Secondario</t>
  </si>
  <si>
    <t>Tipo e spessore strato isolante avvolgimento secondario</t>
  </si>
  <si>
    <t>Dimensione canale tra Nucleo e avvolgimento secondario</t>
  </si>
  <si>
    <t>Caduta di Tensione percentuale</t>
  </si>
  <si>
    <t>Tensione di Corto Circuito riferita alla Potenza, Tensione</t>
  </si>
  <si>
    <t>Gruppo di collegamento</t>
  </si>
  <si>
    <t>Dy11</t>
  </si>
  <si>
    <t>e Frequenza Nominale e riportata a 75°C</t>
  </si>
  <si>
    <t>Tipo di servizio</t>
  </si>
  <si>
    <t>Continuo</t>
  </si>
  <si>
    <t>Fattore di Potenza di Corto Circuito</t>
  </si>
  <si>
    <t>Condizioni di lavoro</t>
  </si>
  <si>
    <t>Ambiente</t>
  </si>
  <si>
    <t>Sopraelevazione di temperatura nel Ferro rispetto all'Olio</t>
  </si>
  <si>
    <r>
      <rPr>
        <sz val="11"/>
        <color rgb="FF000000"/>
        <rFont val="Calibri"/>
        <family val="2"/>
      </rPr>
      <t xml:space="preserve">Sopraelevazione di temperatura </t>
    </r>
    <r>
      <rPr>
        <b/>
        <sz val="11"/>
        <color rgb="FF000000"/>
        <rFont val="Calibri"/>
        <family val="2"/>
      </rPr>
      <t>M.T.</t>
    </r>
    <r>
      <rPr>
        <sz val="11"/>
        <color rgb="FF000000"/>
        <rFont val="Calibri"/>
        <family val="2"/>
      </rPr>
      <t xml:space="preserve"> rispetto all'olio</t>
    </r>
  </si>
  <si>
    <r>
      <rPr>
        <sz val="11"/>
        <color rgb="FF000000"/>
        <rFont val="Calibri"/>
        <family val="2"/>
      </rPr>
      <t xml:space="preserve">Sopraelevazione di temperatura </t>
    </r>
    <r>
      <rPr>
        <b/>
        <sz val="11"/>
        <color rgb="FF000000"/>
        <rFont val="Calibri"/>
        <family val="2"/>
      </rPr>
      <t>b.t.</t>
    </r>
    <r>
      <rPr>
        <sz val="11"/>
        <color rgb="FF000000"/>
        <rFont val="Calibri"/>
        <family val="2"/>
      </rPr>
      <t xml:space="preserve"> rispetto all'olio</t>
    </r>
  </si>
  <si>
    <t>pag.3/12</t>
  </si>
  <si>
    <t>DIMENSIONI MINIME DEL CASSONE (da verificare con le disponibilità industriali)</t>
  </si>
  <si>
    <t>pag.9/12</t>
  </si>
  <si>
    <t>Tensione secondaria a vuoto (collegamento a " Υ ")</t>
  </si>
  <si>
    <t>Distanza minima tra cassone e avvolgimenti esterni</t>
  </si>
  <si>
    <t>Massima corrente a vuoto percentuale ammessa</t>
  </si>
  <si>
    <t>Spazio al di sopra del Giogo superiore</t>
  </si>
  <si>
    <t>Corrente primaria nominale di linea</t>
  </si>
  <si>
    <t>Corrente di fase primaria collegamento a triangolo ∆</t>
  </si>
  <si>
    <t>Si stabilisce che al di sopra del giogo superiore,</t>
  </si>
  <si>
    <t>a 30 mm da esso, risulterà un battente di  300÷400 mm</t>
  </si>
  <si>
    <t>Corrente secondaria nominale di linea</t>
  </si>
  <si>
    <t>Corrente di fase secondaria collegamento a triangolo Y</t>
  </si>
  <si>
    <t>Da verificare con le disponibilità industriali</t>
  </si>
  <si>
    <t>Tensione di Prova per avvolgimenti Primario e Secondario</t>
  </si>
  <si>
    <t>Altezza minima del cassone</t>
  </si>
  <si>
    <t>Lunghezza minima del cassone</t>
  </si>
  <si>
    <t>Larghezza minima del cassone</t>
  </si>
  <si>
    <t>Flusso massimo per colonna</t>
  </si>
  <si>
    <t>Valore ipotizzato del Fattore di Potenza del carico</t>
  </si>
  <si>
    <t>Induzione massima nel Giogo</t>
  </si>
  <si>
    <t>CARATTERISTICHE DEI TRASFORMATORI IN OLIO</t>
  </si>
  <si>
    <t>Comparazione fra alcuni risultati ottenuti e la tabella con</t>
  </si>
  <si>
    <t>le caratteristiche dei trasformatori in olio</t>
  </si>
  <si>
    <t>Perdite nel Ferro riferite alla Tensione e Frequenza nominali</t>
  </si>
  <si>
    <t>(tolleranza +10% sul valore previsto)</t>
  </si>
  <si>
    <t>Tensione</t>
  </si>
  <si>
    <t>Perdite nel Rame riferite alla Potenza Nominale e riportate</t>
  </si>
  <si>
    <t>alla Temperatura degli avvolgimenti di 75°C</t>
  </si>
  <si>
    <t>Tensione di c.c.</t>
  </si>
  <si>
    <t>Rapporto Perdite nel Rame su Perdite nel Ferro</t>
  </si>
  <si>
    <t>ƞ</t>
  </si>
  <si>
    <t>Dimens. Appross.</t>
  </si>
  <si>
    <t>pag.4/12</t>
  </si>
  <si>
    <t>DIMENSIONI GENERALI APPROSSIMATIVE DEL TRASFORMATORE (1/3)</t>
  </si>
  <si>
    <t>pag.10/12</t>
  </si>
  <si>
    <t>Sezione del Nucleo</t>
  </si>
  <si>
    <t>Area del cerchio circoscritto ai gradini del Nucleo</t>
  </si>
  <si>
    <t>Diametro cerchio circoscritto ai gradini del Nucleo</t>
  </si>
  <si>
    <t>L1</t>
  </si>
  <si>
    <t>L2</t>
  </si>
  <si>
    <t>L3</t>
  </si>
  <si>
    <t>pag.5/12</t>
  </si>
  <si>
    <t>DIMENSIONI GENERALI APPROSSIMATIVE DEL TRASFORMATORE (2/3)</t>
  </si>
  <si>
    <t>pag.11/12</t>
  </si>
  <si>
    <t>Valore della f.e.m./spira (tab. LX pag. 2180)</t>
  </si>
  <si>
    <t>Numero di spire totale al Primario (a triangolo ∆)</t>
  </si>
  <si>
    <t>Affinchè la tensione massima tra spira e spira di due strati adiacenti dell'avvolgimento</t>
  </si>
  <si>
    <t>Numero di spire di uno strato dell'avvolgimento Primario</t>
  </si>
  <si>
    <t>Numero di strati dell'avvolgimento Primario</t>
  </si>
  <si>
    <t>Numero di strati eccedenti dell'avvolgimento Primario</t>
  </si>
  <si>
    <t>Numero di spire per ogni strato eccedente al Primario</t>
  </si>
  <si>
    <t>Numero di spire totale al Secondario (a stella Y)</t>
  </si>
  <si>
    <t>Numero di spire di uno strato dell'avvolgimento Secondario</t>
  </si>
  <si>
    <t>Numero di strati dell'avvolgimento Secondario</t>
  </si>
  <si>
    <t>Numero di strati eccedenti dell'avvolgimento Secondario</t>
  </si>
  <si>
    <t>Numero di spire per ogni strato eccedente al Secondario</t>
  </si>
  <si>
    <t>Sezione preliminare dei conduttori del Primario</t>
  </si>
  <si>
    <t>Sezione industriale disponibile filo di Cu per Primario</t>
  </si>
  <si>
    <t>Diametro industriale disponibile filo di Cu per Primario</t>
  </si>
  <si>
    <t>Diametro con strato semplice di vernice isolante</t>
  </si>
  <si>
    <t>Diametro con strato doppio di vernice isolante</t>
  </si>
  <si>
    <t>Diametro con strato triplo di vernice isolante</t>
  </si>
  <si>
    <t>Sezione preliminare dei conduttori del Secondario</t>
  </si>
  <si>
    <t>Sezione industriale disponibile piattina di Cu per Secondario</t>
  </si>
  <si>
    <t>Spessore industriale disponibile piattina di Cu per Secondario</t>
  </si>
  <si>
    <t>Larghezza industriale disponibile piattina di Cu per Secondario</t>
  </si>
  <si>
    <t>ALTEZZE-LUNGHEZZE-DIMENSIONI RADIALI-INTERASSI-SEZIONI-AREE-VOLUMI</t>
  </si>
  <si>
    <t>pag.6/12</t>
  </si>
  <si>
    <t>DIMENSIONI GENERALI APPROSSIMATIVE DEL TRASFORMATORE (3/3)</t>
  </si>
  <si>
    <t>pag.12/12</t>
  </si>
  <si>
    <t>Altezza di una spira (ø) al Primario + strato di vernice semplice</t>
  </si>
  <si>
    <t>Altezza assiale avvolgimento Primario</t>
  </si>
  <si>
    <t>Larghezza avvolgimento Primario (dim.radiale ø)</t>
  </si>
  <si>
    <t>Altezza di una spira al Secondario + strato isolante (carta)</t>
  </si>
  <si>
    <t>Altezza assiale avvolgimento Secondario</t>
  </si>
  <si>
    <t>Larghezza avvolgimento Secondario (dim.radiale)</t>
  </si>
  <si>
    <t>Diametro di una Bobina</t>
  </si>
  <si>
    <t>Altezza di una Colonna</t>
  </si>
  <si>
    <t>Sezione di una Colonna (Nucleo)</t>
  </si>
  <si>
    <t>Interasse fra le colonne</t>
  </si>
  <si>
    <t>Distanza tra avvolgimenti di due colonne adiacenti</t>
  </si>
  <si>
    <t>Altezza di un Giogo</t>
  </si>
  <si>
    <t>Sezione di un Giogo</t>
  </si>
  <si>
    <t>Lunghezza di un Giogo</t>
  </si>
  <si>
    <r>
      <rPr>
        <sz val="11"/>
        <color rgb="FF000000"/>
        <rFont val="Calibri"/>
        <family val="2"/>
      </rPr>
      <t xml:space="preserve">Canale tra avvolgimento </t>
    </r>
    <r>
      <rPr>
        <b/>
        <sz val="11"/>
        <color rgb="FF000000"/>
        <rFont val="Calibri"/>
        <family val="2"/>
      </rPr>
      <t>b.t.</t>
    </r>
    <r>
      <rPr>
        <sz val="11"/>
        <color rgb="FF000000"/>
        <rFont val="Calibri"/>
        <family val="2"/>
      </rPr>
      <t xml:space="preserve"> e </t>
    </r>
    <r>
      <rPr>
        <b/>
        <sz val="11"/>
        <color rgb="FF000000"/>
        <rFont val="Calibri"/>
        <family val="2"/>
      </rPr>
      <t>M.T.</t>
    </r>
  </si>
  <si>
    <r>
      <rPr>
        <sz val="11"/>
        <color rgb="FF000000"/>
        <rFont val="Calibri"/>
        <family val="2"/>
      </rPr>
      <t xml:space="preserve">Canale tra Nucleo e avvolgimento </t>
    </r>
    <r>
      <rPr>
        <b/>
        <sz val="11"/>
        <color rgb="FF000000"/>
        <rFont val="Calibri"/>
        <family val="2"/>
      </rPr>
      <t>b.t.</t>
    </r>
  </si>
  <si>
    <t>Area Fe delle colonne</t>
  </si>
  <si>
    <t>Area Fe dei gioghi</t>
  </si>
  <si>
    <t>Area Cu al Secondario</t>
  </si>
  <si>
    <t>Area Cu al Primario</t>
  </si>
  <si>
    <t>Volume dell'Olio (vedi par. 6.1.21 pag.2190)</t>
  </si>
  <si>
    <t>Da verificare con le disponibilità industriali.</t>
  </si>
  <si>
    <t>Il volume dell'Olio è dato dal volume del cassone</t>
  </si>
  <si>
    <t>cassone compreso il volume delle ondulazioni, tubi o</t>
  </si>
  <si>
    <t>radiatori detraendo da questo il volume del trasformatore.</t>
  </si>
  <si>
    <t>Si prevede per il conservatore di Olio un Volume</t>
  </si>
  <si>
    <t>pari al 5÷8 % del Volume di Olio totale.</t>
  </si>
  <si>
    <t>F I N E</t>
  </si>
  <si>
    <t>TABELLE DI RIFERIMENTO</t>
  </si>
  <si>
    <r>
      <rPr>
        <b/>
        <sz val="11"/>
        <color rgb="FF000000"/>
        <rFont val="Calibri"/>
        <family val="2"/>
      </rPr>
      <t>tab. XXXIV pag2141</t>
    </r>
    <r>
      <rPr>
        <sz val="11"/>
        <color rgb="FF000000"/>
        <rFont val="Calibri"/>
        <family val="2"/>
      </rPr>
      <t xml:space="preserve"> - tensioni di prova per trasformatori esposti a sovratensioni atmosferiche (CEI 14-4-69)</t>
    </r>
  </si>
  <si>
    <t>U</t>
  </si>
  <si>
    <t>tensione</t>
  </si>
  <si>
    <t>tens.prova</t>
  </si>
  <si>
    <t>nominale</t>
  </si>
  <si>
    <t>di riferim.</t>
  </si>
  <si>
    <t>di prova</t>
  </si>
  <si>
    <t>ad impulso</t>
  </si>
  <si>
    <r>
      <rPr>
        <b/>
        <sz val="11"/>
        <color rgb="FF000000"/>
        <rFont val="Calibri"/>
        <family val="2"/>
      </rPr>
      <t>par.2.2.2 pag.2143</t>
    </r>
    <r>
      <rPr>
        <sz val="11"/>
        <color rgb="FF000000"/>
        <rFont val="Calibri"/>
        <family val="2"/>
      </rPr>
      <t xml:space="preserve"> grafico Fig.2</t>
    </r>
  </si>
  <si>
    <t>K</t>
  </si>
  <si>
    <t>S mm²</t>
  </si>
  <si>
    <t>tab. XLIII pag. 2150</t>
  </si>
  <si>
    <r>
      <rPr>
        <sz val="11"/>
        <color rgb="FF000000"/>
        <rFont val="Calibri"/>
        <family val="2"/>
      </rPr>
      <t xml:space="preserve">Caratteristiche dei </t>
    </r>
    <r>
      <rPr>
        <b/>
        <sz val="11"/>
        <color rgb="FF000000"/>
        <rFont val="Calibri"/>
        <family val="2"/>
      </rPr>
      <t>FILI</t>
    </r>
    <r>
      <rPr>
        <sz val="11"/>
        <color rgb="FF000000"/>
        <rFont val="Calibri"/>
        <family val="2"/>
      </rPr>
      <t xml:space="preserve"> di Rame verniciati</t>
    </r>
  </si>
  <si>
    <t>Sez.nom.</t>
  </si>
  <si>
    <t>Res.media</t>
  </si>
  <si>
    <t>Peso Cu</t>
  </si>
  <si>
    <t>ø max con uno o più strati di vernice</t>
  </si>
  <si>
    <t>a 20°C</t>
  </si>
  <si>
    <t>nudo</t>
  </si>
  <si>
    <t>Ω/m</t>
  </si>
  <si>
    <t>gf/m</t>
  </si>
  <si>
    <t>tab. XLV pag. 2153</t>
  </si>
  <si>
    <r>
      <rPr>
        <sz val="11"/>
        <color rgb="FF000000"/>
        <rFont val="Calibri"/>
        <family val="2"/>
      </rPr>
      <t xml:space="preserve">Sezioni nominali (   l x s mm²      delle </t>
    </r>
    <r>
      <rPr>
        <b/>
        <sz val="11"/>
        <color rgb="FF000000"/>
        <rFont val="Calibri"/>
        <family val="2"/>
      </rPr>
      <t>PIATTINE</t>
    </r>
    <r>
      <rPr>
        <sz val="11"/>
        <color rgb="FF000000"/>
        <rFont val="Calibri"/>
        <family val="2"/>
      </rPr>
      <t xml:space="preserve"> di rame nude od isolate,  cotone, carta, vernice, per avvolgimenti)</t>
    </r>
  </si>
  <si>
    <t>Le sezioni disponibili sul mercato, in mm², sono indicate nella tabella inclinata</t>
  </si>
  <si>
    <t>Modificata per ricerca automatica</t>
  </si>
  <si>
    <t>sezione</t>
  </si>
  <si>
    <t>larghezza</t>
  </si>
  <si>
    <t>spessore mm --&gt;&gt;</t>
  </si>
  <si>
    <r>
      <rPr>
        <b/>
        <sz val="11"/>
        <color rgb="FF000000"/>
        <rFont val="Calibri"/>
        <family val="2"/>
      </rPr>
      <t>par.4.3.1 pag.2168</t>
    </r>
    <r>
      <rPr>
        <sz val="11"/>
        <color rgb="FF000000"/>
        <rFont val="Calibri"/>
        <family val="2"/>
      </rPr>
      <t xml:space="preserve"> grafico Fig.12 pag.2169 - curve di magnetizzazione lamierini</t>
    </r>
  </si>
  <si>
    <t>B</t>
  </si>
  <si>
    <t>B induz.</t>
  </si>
  <si>
    <t>H</t>
  </si>
  <si>
    <t>wb/m²</t>
  </si>
  <si>
    <t>asp/cm</t>
  </si>
  <si>
    <t>a</t>
  </si>
  <si>
    <t>c</t>
  </si>
  <si>
    <t>d</t>
  </si>
  <si>
    <r>
      <rPr>
        <b/>
        <sz val="11"/>
        <color rgb="FF000000"/>
        <rFont val="Calibri"/>
        <family val="2"/>
      </rPr>
      <t>tab. LVIII pag. 2179</t>
    </r>
    <r>
      <rPr>
        <sz val="11"/>
        <color rgb="FF000000"/>
        <rFont val="Calibri"/>
        <family val="2"/>
      </rPr>
      <t xml:space="preserve"> - valore in kV delle Tensioni di Prova Up</t>
    </r>
  </si>
  <si>
    <t>U (kV)</t>
  </si>
  <si>
    <t>Umax (kV)</t>
  </si>
  <si>
    <t>Up (kV)</t>
  </si>
  <si>
    <t>Up-impulso (kV)</t>
  </si>
  <si>
    <t>tab. LIX pag.2179</t>
  </si>
  <si>
    <t>Valori della Induzione Massima nel Nucleo  (Bn)</t>
  </si>
  <si>
    <t>Cifra di</t>
  </si>
  <si>
    <t>Tipo lamiera</t>
  </si>
  <si>
    <t>Perdita (W/kg)</t>
  </si>
  <si>
    <t>Bn (Wb/m²)</t>
  </si>
  <si>
    <t>min</t>
  </si>
  <si>
    <t>max</t>
  </si>
  <si>
    <t>Extralegata</t>
  </si>
  <si>
    <t>Grani orientati</t>
  </si>
  <si>
    <t>paragrafo 6.1.4 pag. 2179</t>
  </si>
  <si>
    <t>Forma della Sezione del Nucleo</t>
  </si>
  <si>
    <t>A due gradini</t>
  </si>
  <si>
    <t>Sn/Sc</t>
  </si>
  <si>
    <t>L₁</t>
  </si>
  <si>
    <t>da moltiplicare per il Diametro del Cerchio circoscritto</t>
  </si>
  <si>
    <t>L₂</t>
  </si>
  <si>
    <t>L₃</t>
  </si>
  <si>
    <t>A tre gradini</t>
  </si>
  <si>
    <t>L₄</t>
  </si>
  <si>
    <t>A quattro gradini</t>
  </si>
  <si>
    <t>L₅</t>
  </si>
  <si>
    <r>
      <rPr>
        <b/>
        <sz val="11"/>
        <color rgb="FF000000"/>
        <rFont val="Calibri"/>
        <family val="2"/>
      </rPr>
      <t>tab. LX pag. 2180</t>
    </r>
    <r>
      <rPr>
        <sz val="11"/>
        <color rgb="FF000000"/>
        <rFont val="Calibri"/>
        <family val="2"/>
      </rPr>
      <t xml:space="preserve"> - Determinazione delle f.e.m./spira - Valori della f.e.m./spira e = 4.44 x f x Φ Volt/spira</t>
    </r>
  </si>
  <si>
    <t>P (kVA)</t>
  </si>
  <si>
    <r>
      <rPr>
        <b/>
        <i/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 xml:space="preserve"> (V/spira)</t>
    </r>
  </si>
  <si>
    <t>paragrafo 6.1.9 pag. 2181</t>
  </si>
  <si>
    <t>Determinazione della Sezione dei conduttori</t>
  </si>
  <si>
    <r>
      <rPr>
        <b/>
        <sz val="11"/>
        <color rgb="FF000000"/>
        <rFont val="Calibri"/>
        <family val="2"/>
      </rPr>
      <t>tab LXI p.2181</t>
    </r>
    <r>
      <rPr>
        <sz val="11"/>
        <color rgb="FF000000"/>
        <rFont val="Calibri"/>
        <family val="2"/>
      </rPr>
      <t xml:space="preserve"> - Amperspire per centimetro di altezza assiale (As/cm)</t>
    </r>
  </si>
  <si>
    <t>Pa (kVA)</t>
  </si>
  <si>
    <t>paragrafo 6.1.11 pag. 2182</t>
  </si>
  <si>
    <t>Composizione dell'avvolgimento B.T.</t>
  </si>
  <si>
    <t>scelta strato isolante</t>
  </si>
  <si>
    <t>bispessore carta</t>
  </si>
  <si>
    <t>bispessore vernice</t>
  </si>
  <si>
    <t>spazio trasposizioni</t>
  </si>
  <si>
    <t>a' 1.1÷1.5 a</t>
  </si>
  <si>
    <t>paragrafo 6.1.14 pag. 2182</t>
  </si>
  <si>
    <t>Composizione degli avvolgimenti</t>
  </si>
  <si>
    <t>Tra nucleo e avvolgimento -bt- un canale (δ₂) di 4-10 mm</t>
  </si>
  <si>
    <t>ottenuto con opportuni distanziatori di legno o stratificato plastico</t>
  </si>
  <si>
    <t>Tra avvolgimento -bt- ed MT un canale il cui spessore (δ₁) è in relazione</t>
  </si>
  <si>
    <t>con la maggiore delle due tensioni, più un cilindro di stratificato plastico (fig. 29)</t>
  </si>
  <si>
    <t>tab. LXII - pag. 2183</t>
  </si>
  <si>
    <r>
      <rPr>
        <sz val="11"/>
        <color rgb="FF000000"/>
        <rFont val="Calibri"/>
        <family val="2"/>
      </rPr>
      <t>Dimensioni degli spessori minimi dei Canali (</t>
    </r>
    <r>
      <rPr>
        <b/>
        <sz val="11"/>
        <color rgb="FF000000"/>
        <rFont val="Calibri"/>
        <family val="2"/>
      </rPr>
      <t>δ₁</t>
    </r>
    <r>
      <rPr>
        <sz val="11"/>
        <color rgb="FF000000"/>
        <rFont val="Calibri"/>
        <family val="2"/>
      </rPr>
      <t>) e dei Cilindri (</t>
    </r>
    <r>
      <rPr>
        <b/>
        <sz val="11"/>
        <color rgb="FF000000"/>
        <rFont val="Calibri"/>
        <family val="2"/>
      </rPr>
      <t>Scil</t>
    </r>
    <r>
      <rPr>
        <sz val="11"/>
        <color rgb="FF000000"/>
        <rFont val="Calibri"/>
        <family val="2"/>
      </rPr>
      <t>) isolanti</t>
    </r>
  </si>
  <si>
    <t>(nello spessore del canale è compreso lo spessore -s- del cilindro)</t>
  </si>
  <si>
    <t>U1</t>
  </si>
  <si>
    <t>Scil</t>
  </si>
  <si>
    <r>
      <rPr>
        <b/>
        <sz val="11"/>
        <color rgb="FF000000"/>
        <rFont val="Calibri"/>
        <family val="2"/>
      </rPr>
      <t>tab.LXIII pag.2186</t>
    </r>
    <r>
      <rPr>
        <sz val="11"/>
        <color rgb="FF000000"/>
        <rFont val="Calibri"/>
        <family val="2"/>
      </rPr>
      <t xml:space="preserve"> - valori massimi ammissibili della Corrente a Vuoto</t>
    </r>
  </si>
  <si>
    <t>I₀ (%)</t>
  </si>
  <si>
    <r>
      <rPr>
        <b/>
        <sz val="11"/>
        <color rgb="FF000000"/>
        <rFont val="Calibri"/>
        <family val="2"/>
      </rPr>
      <t>tab.LXV pag.2190</t>
    </r>
    <r>
      <rPr>
        <sz val="11"/>
        <color rgb="FF000000"/>
        <rFont val="Calibri"/>
        <family val="2"/>
      </rPr>
      <t xml:space="preserve"> Caratteristiche dei trasformatori in olio (MT-BT)</t>
    </r>
  </si>
  <si>
    <t>Potenza</t>
  </si>
  <si>
    <t>Corrente</t>
  </si>
  <si>
    <t>Dimensioni approssimative</t>
  </si>
  <si>
    <t>avvolgim.</t>
  </si>
  <si>
    <t>a vuoto</t>
  </si>
  <si>
    <t>c.c.</t>
  </si>
  <si>
    <t>a pieno</t>
  </si>
  <si>
    <t>a 3/4 di</t>
  </si>
  <si>
    <t>a 1/2</t>
  </si>
  <si>
    <t>Parte</t>
  </si>
  <si>
    <t>Altezza</t>
  </si>
  <si>
    <t>MT</t>
  </si>
  <si>
    <t>carico</t>
  </si>
  <si>
    <t>estraibile</t>
  </si>
  <si>
    <t>globale</t>
  </si>
  <si>
    <t>15-20</t>
  </si>
  <si>
    <t>665x330</t>
  </si>
  <si>
    <t>740x355</t>
  </si>
  <si>
    <t>790x380</t>
  </si>
  <si>
    <t>860x445</t>
  </si>
  <si>
    <t>900x480</t>
  </si>
  <si>
    <t>940x510</t>
  </si>
  <si>
    <t>985x530</t>
  </si>
  <si>
    <t>1030x540</t>
  </si>
  <si>
    <t>1100x640</t>
  </si>
  <si>
    <t>1250x700</t>
  </si>
  <si>
    <t>1315x760</t>
  </si>
  <si>
    <t>1400x820</t>
  </si>
  <si>
    <t>1480x880</t>
  </si>
  <si>
    <t>1570x940</t>
  </si>
  <si>
    <t>1660x990</t>
  </si>
  <si>
    <t>1730x1030</t>
  </si>
  <si>
    <t>1800x1050</t>
  </si>
  <si>
    <t>1840x1060</t>
  </si>
  <si>
    <t>1920x1110</t>
  </si>
  <si>
    <t>2030x1140</t>
  </si>
  <si>
    <t>Cp</t>
  </si>
  <si>
    <r>
      <rPr>
        <sz val="11"/>
        <color rgb="FF000000"/>
        <rFont val="Calibri"/>
        <family val="2"/>
      </rPr>
      <t xml:space="preserve">Si sceglierà il </t>
    </r>
    <r>
      <rPr>
        <b/>
        <sz val="11"/>
        <color rgb="FF000000"/>
        <rFont val="Calibri"/>
        <family val="2"/>
      </rPr>
      <t>conduttore unificato</t>
    </r>
    <r>
      <rPr>
        <sz val="11"/>
        <color rgb="FF000000"/>
        <rFont val="Calibri"/>
        <family val="2"/>
      </rPr>
      <t xml:space="preserve"> le cui dimensioni soddisfano al dimensionamento preliminare (</t>
    </r>
    <r>
      <rPr>
        <b/>
        <sz val="11"/>
        <color rgb="FF000000"/>
        <rFont val="Calibri"/>
        <family val="2"/>
      </rPr>
      <t>s₁</t>
    </r>
    <r>
      <rPr>
        <sz val="11"/>
        <color rgb="FF000000"/>
        <rFont val="Calibri"/>
        <family val="2"/>
      </rPr>
      <t xml:space="preserve"> e </t>
    </r>
    <r>
      <rPr>
        <b/>
        <sz val="11"/>
        <color rgb="FF000000"/>
        <rFont val="Calibri"/>
        <family val="2"/>
      </rPr>
      <t>s₂</t>
    </r>
    <r>
      <rPr>
        <sz val="11"/>
        <color rgb="FF000000"/>
        <rFont val="Calibri"/>
        <family val="2"/>
      </rPr>
      <t xml:space="preserve">) - </t>
    </r>
    <r>
      <rPr>
        <b/>
        <sz val="11"/>
        <color rgb="FF000000"/>
        <rFont val="Calibri"/>
        <family val="2"/>
      </rPr>
      <t>par.6.1.11 pag.2182</t>
    </r>
  </si>
  <si>
    <t>Segnalazioni</t>
  </si>
  <si>
    <r>
      <t xml:space="preserve">Si diminuirà il </t>
    </r>
    <r>
      <rPr>
        <i/>
        <sz val="11"/>
        <color rgb="FF000000"/>
        <rFont val="Calibri"/>
        <family val="2"/>
      </rPr>
      <t>numero di spire di uno strato</t>
    </r>
    <r>
      <rPr>
        <sz val="11"/>
        <color rgb="FF000000"/>
        <rFont val="Calibri"/>
        <family val="2"/>
      </rPr>
      <t xml:space="preserve"> (</t>
    </r>
    <r>
      <rPr>
        <b/>
        <sz val="11"/>
        <color rgb="FF000000"/>
        <rFont val="Calibri"/>
        <family val="2"/>
      </rPr>
      <t>Ns₁st</t>
    </r>
    <r>
      <rPr>
        <sz val="11"/>
        <color rgb="FF000000"/>
        <rFont val="Calibri"/>
        <family val="2"/>
      </rPr>
      <t>) tanto quanto basta per soddisfare</t>
    </r>
  </si>
  <si>
    <r>
      <t xml:space="preserve">Si diminuirà il </t>
    </r>
    <r>
      <rPr>
        <i/>
        <sz val="11"/>
        <color rgb="FF000000"/>
        <rFont val="Calibri"/>
        <family val="2"/>
      </rPr>
      <t>numero di spire di uno strato</t>
    </r>
    <r>
      <rPr>
        <sz val="11"/>
        <color rgb="FF000000"/>
        <rFont val="Calibri"/>
        <family val="2"/>
      </rPr>
      <t xml:space="preserve"> (</t>
    </r>
    <r>
      <rPr>
        <b/>
        <sz val="11"/>
        <color rgb="FF000000"/>
        <rFont val="Calibri"/>
        <family val="2"/>
      </rPr>
      <t>Ns₂st</t>
    </r>
    <r>
      <rPr>
        <sz val="11"/>
        <color rgb="FF000000"/>
        <rFont val="Calibri"/>
        <family val="2"/>
      </rPr>
      <t>) tanto quanto basta per soddisfare</t>
    </r>
  </si>
  <si>
    <r>
      <t xml:space="preserve">questa condizione (Ns₁ok) - </t>
    </r>
    <r>
      <rPr>
        <b/>
        <sz val="11"/>
        <color rgb="FF000000"/>
        <rFont val="Calibri"/>
        <family val="2"/>
      </rPr>
      <t>par.6.1.12 pag.2182</t>
    </r>
  </si>
  <si>
    <r>
      <t xml:space="preserve">questa condizione (Ns₂ok) - </t>
    </r>
    <r>
      <rPr>
        <b/>
        <sz val="11"/>
        <color rgb="FF000000"/>
        <rFont val="Calibri"/>
        <family val="2"/>
      </rPr>
      <t>par.6.1.12 pag.2182</t>
    </r>
  </si>
  <si>
    <t>Controllo risultati</t>
  </si>
  <si>
    <t>Valore preliminare o teorico</t>
  </si>
  <si>
    <t>LEGENDA</t>
  </si>
  <si>
    <t>Scelta sezione industriale disponibile</t>
  </si>
  <si>
    <r>
      <rPr>
        <b/>
        <sz val="11"/>
        <color rgb="FF000000"/>
        <rFont val="Calibri"/>
        <family val="2"/>
      </rPr>
      <t>filo di Cu</t>
    </r>
    <r>
      <rPr>
        <sz val="11"/>
        <color rgb="FF000000"/>
        <rFont val="Calibri"/>
        <family val="2"/>
      </rPr>
      <t xml:space="preserve"> per avvolgimento M</t>
    </r>
    <r>
      <rPr>
        <b/>
        <sz val="11"/>
        <color rgb="FF000000"/>
        <rFont val="Calibri"/>
        <family val="2"/>
      </rPr>
      <t>.T.</t>
    </r>
  </si>
  <si>
    <t>Ppcu₁</t>
  </si>
  <si>
    <t>W/kg</t>
  </si>
  <si>
    <t>Ppcu₂</t>
  </si>
  <si>
    <t>Potenza nomin.</t>
  </si>
  <si>
    <r>
      <rPr>
        <b/>
        <sz val="11"/>
        <color rgb="FF000000"/>
        <rFont val="Calibri"/>
        <family val="2"/>
      </rPr>
      <t>piattina di Cu</t>
    </r>
    <r>
      <rPr>
        <sz val="11"/>
        <color rgb="FF000000"/>
        <rFont val="Calibri"/>
        <family val="2"/>
      </rPr>
      <t xml:space="preserve"> per avvolgimento </t>
    </r>
    <r>
      <rPr>
        <b/>
        <sz val="11"/>
        <color rgb="FF000000"/>
        <rFont val="Calibri"/>
        <family val="2"/>
      </rPr>
      <t>b.t.</t>
    </r>
  </si>
  <si>
    <t>Comparazione fra alcuni risultati ottenuti e la tabella con le caratteristiche dei trasformatori in olio riportata in tab.LXV pag.2190</t>
  </si>
  <si>
    <t>Tensione MT</t>
  </si>
  <si>
    <t>Nr</t>
  </si>
  <si>
    <t>Numero di spire per la regolazione primaria</t>
  </si>
  <si>
    <t>Primario non superi 850 V si realizzeranno le seguenti condizioni</t>
  </si>
  <si>
    <t>Secondario non superi 350 V si realizzeranno le seguenti condizioni</t>
  </si>
  <si>
    <r>
      <t>Con un minimo di 20÷30 mm (</t>
    </r>
    <r>
      <rPr>
        <b/>
        <sz val="11"/>
        <color rgb="FF000000"/>
        <rFont val="Calibri"/>
        <family val="2"/>
      </rPr>
      <t>δ₄</t>
    </r>
    <r>
      <rPr>
        <sz val="11"/>
        <color rgb="FF000000"/>
        <rFont val="Calibri"/>
        <family val="2"/>
      </rPr>
      <t>) al di sopra del giogo superiore dovrà risultare un battente (</t>
    </r>
    <r>
      <rPr>
        <b/>
        <sz val="11"/>
        <color rgb="FF000000"/>
        <rFont val="Calibri"/>
        <family val="2"/>
      </rPr>
      <t>btnt</t>
    </r>
    <r>
      <rPr>
        <sz val="11"/>
        <color rgb="FF000000"/>
        <rFont val="Calibri"/>
        <family val="2"/>
      </rPr>
      <t>) di 300÷400 mm.</t>
    </r>
  </si>
  <si>
    <r>
      <t>I₀%</t>
    </r>
    <r>
      <rPr>
        <sz val="11"/>
        <color rgb="FF000000"/>
        <rFont val="Calibri"/>
        <family val="2"/>
      </rPr>
      <t>max</t>
    </r>
  </si>
  <si>
    <t>Valore effettivo calcolato o estratto da tabelle</t>
  </si>
  <si>
    <t>Valori calcolati (preliminari o effettivi)</t>
  </si>
  <si>
    <t>rappresentazione grafico pag.2143</t>
  </si>
  <si>
    <t>Verifica coerenza dei valori inseriti/calcolati</t>
  </si>
  <si>
    <t>DIMENSIONAMENTO DI MASSIMA DI UN TRASFORMATORE TRIFASE A COLONNE CON RAFFREDDAMENTO IN OLIO NATURALE</t>
  </si>
  <si>
    <t>CLASSIFICAZIONE DELLE LAMIERE</t>
  </si>
  <si>
    <t>(CEI 105-1-51; UNEL 01111 - UNI 3794)</t>
  </si>
  <si>
    <t>Segnalazioni e/o allarmi</t>
  </si>
  <si>
    <t>Errori inserimento valori</t>
  </si>
</sst>
</file>

<file path=xl/styles.xml><?xml version="1.0" encoding="utf-8"?>
<styleSheet xmlns="http://schemas.openxmlformats.org/spreadsheetml/2006/main">
  <numFmts count="1">
    <numFmt numFmtId="164" formatCode="0.000"/>
  </numFmts>
  <fonts count="36">
    <font>
      <sz val="11"/>
      <color rgb="FF0000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/>
      <sz val="10"/>
      <color rgb="FF808080"/>
      <name val="Calibri"/>
      <family val="2"/>
    </font>
    <font>
      <u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4F6228"/>
      <name val="Calibri"/>
      <family val="2"/>
    </font>
    <font>
      <sz val="11"/>
      <color rgb="FFFFFFFF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rgb="FFFFFF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</font>
    <font>
      <sz val="9"/>
      <color rgb="FF000000"/>
      <name val="Tahoma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sz val="11"/>
      <color theme="9" tint="-0.49998474074526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rgb="FF000000"/>
      <name val="Calibri"/>
      <family val="2"/>
    </font>
    <font>
      <sz val="9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C6EFCE"/>
      </patternFill>
    </fill>
    <fill>
      <patternFill patternType="solid">
        <fgColor rgb="FFFFCCCC"/>
        <bgColor rgb="FFFFC7CE"/>
      </patternFill>
    </fill>
    <fill>
      <patternFill patternType="solid">
        <fgColor rgb="FFCC0000"/>
        <bgColor rgb="FF9C0006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4F6228"/>
      </patternFill>
    </fill>
    <fill>
      <patternFill patternType="solid">
        <fgColor rgb="FFDDDDDD"/>
        <bgColor rgb="FFD9D9D9"/>
      </patternFill>
    </fill>
    <fill>
      <patternFill patternType="solid">
        <fgColor rgb="FFFFD28F"/>
        <bgColor rgb="FFFFDBA7"/>
      </patternFill>
    </fill>
    <fill>
      <patternFill patternType="solid">
        <fgColor rgb="FFDDD9C3"/>
        <bgColor rgb="FFD9D9D9"/>
      </patternFill>
    </fill>
    <fill>
      <patternFill patternType="solid">
        <fgColor rgb="FFB7DEE8"/>
        <bgColor rgb="FFC6D9F1"/>
      </patternFill>
    </fill>
    <fill>
      <patternFill patternType="solid">
        <fgColor rgb="FFD9D9D9"/>
        <bgColor rgb="FFDDDDDD"/>
      </patternFill>
    </fill>
    <fill>
      <patternFill patternType="solid">
        <fgColor rgb="FFC6D9F1"/>
        <bgColor rgb="FFB7DEE8"/>
      </patternFill>
    </fill>
    <fill>
      <patternFill patternType="solid">
        <fgColor rgb="FFFAC090"/>
        <bgColor rgb="FFFFD28F"/>
      </patternFill>
    </fill>
    <fill>
      <patternFill patternType="solid">
        <fgColor rgb="FFEBF1DE"/>
        <bgColor rgb="FFDBEEF4"/>
      </patternFill>
    </fill>
    <fill>
      <patternFill patternType="solid">
        <fgColor rgb="FFC3D69B"/>
        <bgColor rgb="FFDDD9C3"/>
      </patternFill>
    </fill>
    <fill>
      <patternFill patternType="solid">
        <fgColor rgb="FFF79646"/>
        <bgColor rgb="FFFAC090"/>
      </patternFill>
    </fill>
    <fill>
      <patternFill patternType="solid">
        <fgColor rgb="FFFFC000"/>
        <bgColor rgb="FFC3D69B"/>
      </patternFill>
    </fill>
    <fill>
      <patternFill patternType="solid">
        <fgColor rgb="FFFFC000"/>
        <bgColor rgb="FFB7DEE8"/>
      </patternFill>
    </fill>
    <fill>
      <patternFill patternType="solid">
        <fgColor rgb="FFFFC000"/>
        <bgColor rgb="FFDDDDDD"/>
      </patternFill>
    </fill>
    <fill>
      <patternFill patternType="solid">
        <fgColor rgb="FFF5FF97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5FF97"/>
        <bgColor rgb="FFD9D9D9"/>
      </patternFill>
    </fill>
    <fill>
      <patternFill patternType="solid">
        <fgColor rgb="FFCCFFCC"/>
        <bgColor rgb="FFFFDBA7"/>
      </patternFill>
    </fill>
    <fill>
      <patternFill patternType="solid">
        <fgColor rgb="FFCCFFCC"/>
        <bgColor rgb="FFFFD28F"/>
      </patternFill>
    </fill>
    <fill>
      <patternFill patternType="solid">
        <fgColor theme="3" tint="0.79998168889431442"/>
        <bgColor rgb="FFB7DEE8"/>
      </patternFill>
    </fill>
    <fill>
      <patternFill patternType="solid">
        <fgColor theme="3" tint="0.79998168889431442"/>
        <bgColor rgb="FFC3D69B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rgb="FFFFD28F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4" fillId="0" borderId="0" applyBorder="0" applyProtection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28" fillId="0" borderId="0" applyBorder="0" applyProtection="0"/>
    <xf numFmtId="0" fontId="4" fillId="2" borderId="1" applyProtection="0"/>
    <xf numFmtId="0" fontId="5" fillId="0" borderId="0" applyBorder="0" applyProtection="0"/>
    <xf numFmtId="0" fontId="6" fillId="0" borderId="0" applyBorder="0" applyProtection="0"/>
    <xf numFmtId="0" fontId="28" fillId="0" borderId="0" applyBorder="0" applyProtection="0"/>
    <xf numFmtId="0" fontId="7" fillId="3" borderId="0" applyBorder="0" applyProtection="0"/>
    <xf numFmtId="0" fontId="8" fillId="2" borderId="0" applyBorder="0" applyProtection="0"/>
    <xf numFmtId="0" fontId="9" fillId="4" borderId="0" applyBorder="0" applyProtection="0"/>
    <xf numFmtId="0" fontId="9" fillId="0" borderId="0" applyBorder="0" applyProtection="0"/>
    <xf numFmtId="0" fontId="10" fillId="5" borderId="0" applyBorder="0" applyProtection="0"/>
    <xf numFmtId="0" fontId="11" fillId="0" borderId="0" applyBorder="0" applyProtection="0"/>
    <xf numFmtId="0" fontId="12" fillId="6" borderId="0" applyBorder="0" applyProtection="0"/>
    <xf numFmtId="0" fontId="12" fillId="7" borderId="0" applyBorder="0" applyProtection="0"/>
    <xf numFmtId="0" fontId="11" fillId="8" borderId="0" applyBorder="0" applyProtection="0"/>
  </cellStyleXfs>
  <cellXfs count="206">
    <xf numFmtId="0" fontId="0" fillId="0" borderId="0" xfId="0"/>
    <xf numFmtId="0" fontId="13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9" borderId="0" xfId="0" applyFill="1"/>
    <xf numFmtId="0" fontId="0" fillId="10" borderId="0" xfId="0" applyFill="1"/>
    <xf numFmtId="0" fontId="0" fillId="0" borderId="0" xfId="0" applyFont="1"/>
    <xf numFmtId="0" fontId="0" fillId="0" borderId="0" xfId="0" applyFont="1"/>
    <xf numFmtId="0" fontId="13" fillId="0" borderId="0" xfId="0" applyFont="1"/>
    <xf numFmtId="0" fontId="13" fillId="0" borderId="0" xfId="0" applyFont="1"/>
    <xf numFmtId="0" fontId="13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11" borderId="0" xfId="0" applyFont="1" applyFill="1"/>
    <xf numFmtId="0" fontId="0" fillId="0" borderId="0" xfId="0" applyFont="1" applyAlignment="1"/>
    <xf numFmtId="0" fontId="0" fillId="0" borderId="0" xfId="0" applyAlignment="1">
      <alignment horizontal="center"/>
    </xf>
    <xf numFmtId="0" fontId="13" fillId="0" borderId="0" xfId="0" applyFont="1" applyAlignment="1"/>
    <xf numFmtId="0" fontId="13" fillId="13" borderId="0" xfId="0" applyFont="1" applyFill="1" applyAlignment="1">
      <alignment horizontal="center"/>
    </xf>
    <xf numFmtId="0" fontId="14" fillId="13" borderId="0" xfId="1" applyFont="1" applyFill="1" applyBorder="1" applyAlignment="1" applyProtection="1">
      <alignment horizontal="center"/>
    </xf>
    <xf numFmtId="0" fontId="15" fillId="0" borderId="0" xfId="0" applyFont="1" applyAlignment="1">
      <alignment horizontal="center"/>
    </xf>
    <xf numFmtId="0" fontId="16" fillId="7" borderId="0" xfId="0" applyFont="1" applyFill="1"/>
    <xf numFmtId="0" fontId="0" fillId="7" borderId="0" xfId="0" applyFill="1"/>
    <xf numFmtId="0" fontId="0" fillId="14" borderId="0" xfId="0" applyFill="1"/>
    <xf numFmtId="0" fontId="13" fillId="14" borderId="0" xfId="0" applyFont="1" applyFill="1" applyAlignment="1">
      <alignment horizontal="center"/>
    </xf>
    <xf numFmtId="0" fontId="17" fillId="14" borderId="0" xfId="0" applyFont="1" applyFill="1" applyAlignment="1">
      <alignment horizontal="center"/>
    </xf>
    <xf numFmtId="0" fontId="0" fillId="0" borderId="0" xfId="0" applyFont="1" applyBorder="1" applyAlignment="1"/>
    <xf numFmtId="0" fontId="0" fillId="0" borderId="0" xfId="0" applyBorder="1" applyAlignment="1"/>
    <xf numFmtId="164" fontId="0" fillId="0" borderId="0" xfId="0" applyNumberFormat="1"/>
    <xf numFmtId="0" fontId="15" fillId="0" borderId="0" xfId="0" applyFont="1" applyBorder="1" applyAlignment="1">
      <alignment horizontal="center"/>
    </xf>
    <xf numFmtId="0" fontId="0" fillId="0" borderId="0" xfId="0"/>
    <xf numFmtId="0" fontId="13" fillId="14" borderId="0" xfId="0" applyFont="1" applyFill="1" applyBorder="1" applyAlignment="1">
      <alignment horizontal="center"/>
    </xf>
    <xf numFmtId="164" fontId="0" fillId="0" borderId="0" xfId="0" applyNumberFormat="1" applyBorder="1"/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/>
    <xf numFmtId="0" fontId="20" fillId="0" borderId="0" xfId="0" applyFont="1"/>
    <xf numFmtId="0" fontId="19" fillId="0" borderId="0" xfId="0" applyFont="1" applyAlignment="1">
      <alignment horizontal="left"/>
    </xf>
    <xf numFmtId="0" fontId="0" fillId="0" borderId="0" xfId="0"/>
    <xf numFmtId="0" fontId="13" fillId="7" borderId="0" xfId="0" applyFont="1" applyFill="1"/>
    <xf numFmtId="164" fontId="0" fillId="7" borderId="0" xfId="0" applyNumberFormat="1" applyFill="1"/>
    <xf numFmtId="2" fontId="0" fillId="0" borderId="0" xfId="0" applyNumberFormat="1"/>
    <xf numFmtId="0" fontId="19" fillId="0" borderId="0" xfId="0" applyFont="1" applyAlignment="1">
      <alignment horizontal="center"/>
    </xf>
    <xf numFmtId="0" fontId="21" fillId="14" borderId="0" xfId="0" applyFont="1" applyFill="1" applyAlignment="1">
      <alignment horizontal="center"/>
    </xf>
    <xf numFmtId="0" fontId="22" fillId="7" borderId="0" xfId="0" applyFont="1" applyFill="1"/>
    <xf numFmtId="0" fontId="13" fillId="0" borderId="0" xfId="0" applyFont="1" applyAlignment="1">
      <alignment horizontal="center"/>
    </xf>
    <xf numFmtId="164" fontId="0" fillId="0" borderId="0" xfId="0" applyNumberFormat="1"/>
    <xf numFmtId="0" fontId="0" fillId="15" borderId="4" xfId="0" applyFont="1" applyFill="1" applyBorder="1" applyAlignment="1">
      <alignment horizontal="center"/>
    </xf>
    <xf numFmtId="0" fontId="0" fillId="15" borderId="5" xfId="0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"/>
    </xf>
    <xf numFmtId="0" fontId="0" fillId="15" borderId="8" xfId="0" applyFont="1" applyFill="1" applyBorder="1" applyAlignment="1">
      <alignment horizontal="center"/>
    </xf>
    <xf numFmtId="0" fontId="13" fillId="15" borderId="10" xfId="0" applyFont="1" applyFill="1" applyBorder="1" applyAlignment="1">
      <alignment horizontal="center"/>
    </xf>
    <xf numFmtId="0" fontId="13" fillId="15" borderId="6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15" borderId="11" xfId="0" applyFont="1" applyFill="1" applyBorder="1" applyAlignment="1">
      <alignment horizontal="center"/>
    </xf>
    <xf numFmtId="2" fontId="13" fillId="16" borderId="12" xfId="0" applyNumberFormat="1" applyFont="1" applyFill="1" applyBorder="1" applyAlignment="1">
      <alignment horizontal="center"/>
    </xf>
    <xf numFmtId="0" fontId="13" fillId="16" borderId="12" xfId="0" applyFont="1" applyFill="1" applyBorder="1" applyAlignment="1">
      <alignment horizontal="center"/>
    </xf>
    <xf numFmtId="0" fontId="0" fillId="12" borderId="0" xfId="0" applyFill="1" applyBorder="1"/>
    <xf numFmtId="0" fontId="13" fillId="12" borderId="0" xfId="0" applyFont="1" applyFill="1" applyBorder="1"/>
    <xf numFmtId="0" fontId="0" fillId="12" borderId="0" xfId="0" applyFont="1" applyFill="1" applyBorder="1" applyAlignment="1">
      <alignment horizontal="center"/>
    </xf>
    <xf numFmtId="0" fontId="0" fillId="0" borderId="0" xfId="0" applyBorder="1"/>
    <xf numFmtId="0" fontId="27" fillId="0" borderId="0" xfId="0" applyFont="1" applyBorder="1" applyAlignment="1">
      <alignment vertical="center"/>
    </xf>
    <xf numFmtId="0" fontId="13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17" borderId="0" xfId="0" applyFill="1"/>
    <xf numFmtId="0" fontId="0" fillId="17" borderId="0" xfId="0" applyFont="1" applyFill="1"/>
    <xf numFmtId="0" fontId="17" fillId="0" borderId="0" xfId="0" applyFont="1"/>
    <xf numFmtId="0" fontId="13" fillId="15" borderId="8" xfId="0" applyFont="1" applyFill="1" applyBorder="1" applyAlignment="1">
      <alignment horizontal="center"/>
    </xf>
    <xf numFmtId="0" fontId="13" fillId="16" borderId="8" xfId="0" applyFont="1" applyFill="1" applyBorder="1" applyAlignment="1">
      <alignment horizontal="center"/>
    </xf>
    <xf numFmtId="2" fontId="13" fillId="16" borderId="8" xfId="0" applyNumberFormat="1" applyFont="1" applyFill="1" applyBorder="1" applyAlignment="1">
      <alignment horizontal="center"/>
    </xf>
    <xf numFmtId="0" fontId="13" fillId="16" borderId="8" xfId="0" applyFont="1" applyFill="1" applyBorder="1"/>
    <xf numFmtId="0" fontId="0" fillId="18" borderId="0" xfId="0" applyFill="1"/>
    <xf numFmtId="0" fontId="0" fillId="0" borderId="0" xfId="0" applyFill="1" applyAlignment="1">
      <alignment horizontal="left"/>
    </xf>
    <xf numFmtId="0" fontId="13" fillId="19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21" borderId="13" xfId="0" applyFill="1" applyBorder="1"/>
    <xf numFmtId="0" fontId="0" fillId="21" borderId="19" xfId="0" applyFill="1" applyBorder="1"/>
    <xf numFmtId="0" fontId="0" fillId="21" borderId="14" xfId="0" applyFill="1" applyBorder="1"/>
    <xf numFmtId="0" fontId="0" fillId="22" borderId="20" xfId="0" applyFont="1" applyFill="1" applyBorder="1"/>
    <xf numFmtId="0" fontId="0" fillId="22" borderId="21" xfId="0" applyFill="1" applyBorder="1"/>
    <xf numFmtId="0" fontId="0" fillId="22" borderId="21" xfId="0" applyFont="1" applyFill="1" applyBorder="1"/>
    <xf numFmtId="0" fontId="0" fillId="22" borderId="23" xfId="0" applyFill="1" applyBorder="1"/>
    <xf numFmtId="0" fontId="0" fillId="22" borderId="0" xfId="0" applyFont="1" applyFill="1" applyBorder="1"/>
    <xf numFmtId="0" fontId="0" fillId="22" borderId="0" xfId="0" applyFill="1" applyBorder="1"/>
    <xf numFmtId="0" fontId="0" fillId="22" borderId="24" xfId="0" applyFill="1" applyBorder="1"/>
    <xf numFmtId="0" fontId="0" fillId="22" borderId="25" xfId="0" applyFill="1" applyBorder="1"/>
    <xf numFmtId="0" fontId="0" fillId="22" borderId="26" xfId="0" applyFill="1" applyBorder="1"/>
    <xf numFmtId="0" fontId="0" fillId="22" borderId="26" xfId="0" applyFont="1" applyFill="1" applyBorder="1"/>
    <xf numFmtId="0" fontId="0" fillId="22" borderId="27" xfId="0" applyFill="1" applyBorder="1"/>
    <xf numFmtId="0" fontId="13" fillId="0" borderId="0" xfId="0" applyFont="1" applyFill="1"/>
    <xf numFmtId="0" fontId="0" fillId="21" borderId="13" xfId="0" applyFont="1" applyFill="1" applyBorder="1"/>
    <xf numFmtId="0" fontId="0" fillId="21" borderId="19" xfId="0" applyFont="1" applyFill="1" applyBorder="1"/>
    <xf numFmtId="0" fontId="0" fillId="0" borderId="0" xfId="0" applyFill="1" applyBorder="1"/>
    <xf numFmtId="0" fontId="0" fillId="21" borderId="13" xfId="0" applyFill="1" applyBorder="1" applyAlignment="1">
      <alignment horizontal="center"/>
    </xf>
    <xf numFmtId="0" fontId="19" fillId="21" borderId="19" xfId="0" applyFont="1" applyFill="1" applyBorder="1"/>
    <xf numFmtId="0" fontId="0" fillId="23" borderId="14" xfId="0" applyFont="1" applyFill="1" applyBorder="1"/>
    <xf numFmtId="0" fontId="0" fillId="24" borderId="0" xfId="0" applyFill="1"/>
    <xf numFmtId="0" fontId="0" fillId="25" borderId="0" xfId="0" applyFill="1"/>
    <xf numFmtId="0" fontId="0" fillId="14" borderId="0" xfId="0" applyFont="1" applyFill="1" applyAlignment="1"/>
    <xf numFmtId="0" fontId="29" fillId="21" borderId="0" xfId="0" applyFont="1" applyFill="1"/>
    <xf numFmtId="0" fontId="0" fillId="21" borderId="0" xfId="0" applyFont="1" applyFill="1"/>
    <xf numFmtId="0" fontId="0" fillId="21" borderId="0" xfId="0" applyFill="1" applyBorder="1"/>
    <xf numFmtId="0" fontId="0" fillId="21" borderId="0" xfId="0" applyFill="1"/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64" fontId="0" fillId="0" borderId="0" xfId="0" applyNumberFormat="1" applyFill="1"/>
    <xf numFmtId="0" fontId="19" fillId="0" borderId="0" xfId="0" applyFont="1" applyFill="1"/>
    <xf numFmtId="164" fontId="0" fillId="0" borderId="0" xfId="0" applyNumberFormat="1" applyAlignment="1">
      <alignment horizontal="center"/>
    </xf>
    <xf numFmtId="0" fontId="0" fillId="23" borderId="19" xfId="0" applyFont="1" applyFill="1" applyBorder="1"/>
    <xf numFmtId="0" fontId="0" fillId="15" borderId="8" xfId="0" applyFont="1" applyFill="1" applyBorder="1" applyAlignment="1">
      <alignment horizontal="center"/>
    </xf>
    <xf numFmtId="0" fontId="13" fillId="26" borderId="0" xfId="0" applyFont="1" applyFill="1" applyAlignment="1">
      <alignment horizontal="center"/>
    </xf>
    <xf numFmtId="0" fontId="13" fillId="27" borderId="0" xfId="0" applyFont="1" applyFill="1" applyAlignment="1">
      <alignment horizontal="center"/>
    </xf>
    <xf numFmtId="0" fontId="0" fillId="22" borderId="22" xfId="0" applyFont="1" applyFill="1" applyBorder="1"/>
    <xf numFmtId="0" fontId="0" fillId="29" borderId="0" xfId="0" applyFill="1"/>
    <xf numFmtId="0" fontId="13" fillId="30" borderId="0" xfId="0" applyFont="1" applyFill="1" applyAlignment="1">
      <alignment horizontal="center"/>
    </xf>
    <xf numFmtId="0" fontId="0" fillId="31" borderId="0" xfId="0" applyFill="1" applyAlignment="1">
      <alignment horizontal="center"/>
    </xf>
    <xf numFmtId="0" fontId="0" fillId="0" borderId="0" xfId="0" quotePrefix="1" applyFill="1" applyBorder="1"/>
    <xf numFmtId="0" fontId="0" fillId="0" borderId="0" xfId="0" applyFont="1" applyBorder="1" applyAlignment="1">
      <alignment horizontal="center"/>
    </xf>
    <xf numFmtId="0" fontId="0" fillId="18" borderId="13" xfId="0" applyFill="1" applyBorder="1"/>
    <xf numFmtId="0" fontId="0" fillId="18" borderId="19" xfId="0" applyFill="1" applyBorder="1"/>
    <xf numFmtId="0" fontId="0" fillId="18" borderId="19" xfId="0" applyFill="1" applyBorder="1" applyAlignment="1"/>
    <xf numFmtId="0" fontId="0" fillId="28" borderId="19" xfId="0" applyFill="1" applyBorder="1"/>
    <xf numFmtId="0" fontId="0" fillId="28" borderId="14" xfId="0" applyFill="1" applyBorder="1"/>
    <xf numFmtId="0" fontId="0" fillId="22" borderId="0" xfId="0" applyFill="1"/>
    <xf numFmtId="0" fontId="35" fillId="0" borderId="0" xfId="0" applyFont="1" applyBorder="1" applyAlignment="1">
      <alignment horizontal="center"/>
    </xf>
    <xf numFmtId="0" fontId="13" fillId="32" borderId="35" xfId="0" applyFont="1" applyFill="1" applyBorder="1" applyAlignment="1">
      <alignment horizontal="center"/>
    </xf>
    <xf numFmtId="0" fontId="13" fillId="32" borderId="36" xfId="0" applyFont="1" applyFill="1" applyBorder="1" applyAlignment="1">
      <alignment horizontal="center"/>
    </xf>
    <xf numFmtId="0" fontId="13" fillId="32" borderId="37" xfId="0" applyFont="1" applyFill="1" applyBorder="1" applyAlignment="1">
      <alignment horizontal="center"/>
    </xf>
    <xf numFmtId="0" fontId="13" fillId="32" borderId="38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3" fillId="32" borderId="39" xfId="0" applyFont="1" applyFill="1" applyBorder="1" applyAlignment="1">
      <alignment horizontal="center"/>
    </xf>
    <xf numFmtId="0" fontId="13" fillId="32" borderId="40" xfId="0" applyFont="1" applyFill="1" applyBorder="1" applyAlignment="1">
      <alignment horizontal="center"/>
    </xf>
    <xf numFmtId="0" fontId="13" fillId="32" borderId="41" xfId="0" applyFont="1" applyFill="1" applyBorder="1" applyAlignment="1">
      <alignment horizontal="center"/>
    </xf>
    <xf numFmtId="0" fontId="13" fillId="32" borderId="4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32" borderId="43" xfId="0" applyFont="1" applyFill="1" applyBorder="1" applyAlignment="1">
      <alignment horizontal="center"/>
    </xf>
    <xf numFmtId="0" fontId="0" fillId="32" borderId="44" xfId="0" applyFill="1" applyBorder="1"/>
    <xf numFmtId="0" fontId="0" fillId="32" borderId="45" xfId="0" applyFill="1" applyBorder="1"/>
    <xf numFmtId="0" fontId="13" fillId="0" borderId="36" xfId="0" applyFont="1" applyBorder="1" applyAlignment="1">
      <alignment horizontal="center"/>
    </xf>
    <xf numFmtId="0" fontId="13" fillId="32" borderId="13" xfId="0" applyFont="1" applyFill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13" fillId="32" borderId="44" xfId="0" applyFont="1" applyFill="1" applyBorder="1" applyAlignment="1">
      <alignment horizontal="center"/>
    </xf>
    <xf numFmtId="0" fontId="13" fillId="32" borderId="45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41" xfId="0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15" borderId="31" xfId="0" applyFont="1" applyFill="1" applyBorder="1" applyAlignment="1">
      <alignment horizontal="center" vertical="center"/>
    </xf>
    <xf numFmtId="0" fontId="0" fillId="15" borderId="34" xfId="0" applyFont="1" applyFill="1" applyBorder="1" applyAlignment="1">
      <alignment horizontal="center" vertical="center"/>
    </xf>
    <xf numFmtId="0" fontId="0" fillId="15" borderId="32" xfId="0" applyFont="1" applyFill="1" applyBorder="1" applyAlignment="1">
      <alignment horizontal="center" vertical="center"/>
    </xf>
    <xf numFmtId="0" fontId="0" fillId="15" borderId="15" xfId="0" applyFont="1" applyFill="1" applyBorder="1" applyAlignment="1">
      <alignment horizontal="center" vertical="center"/>
    </xf>
    <xf numFmtId="0" fontId="0" fillId="15" borderId="16" xfId="0" applyFont="1" applyFill="1" applyBorder="1" applyAlignment="1">
      <alignment horizontal="center" vertical="center"/>
    </xf>
    <xf numFmtId="0" fontId="0" fillId="15" borderId="33" xfId="0" applyFont="1" applyFill="1" applyBorder="1" applyAlignment="1">
      <alignment horizontal="center" vertical="center"/>
    </xf>
    <xf numFmtId="0" fontId="0" fillId="15" borderId="12" xfId="0" applyFont="1" applyFill="1" applyBorder="1" applyAlignment="1">
      <alignment horizontal="center" vertical="center"/>
    </xf>
    <xf numFmtId="0" fontId="0" fillId="15" borderId="33" xfId="0" applyFont="1" applyFill="1" applyBorder="1" applyAlignment="1">
      <alignment horizontal="center" vertical="center" wrapText="1"/>
    </xf>
    <xf numFmtId="0" fontId="0" fillId="15" borderId="12" xfId="0" applyFont="1" applyFill="1" applyBorder="1" applyAlignment="1">
      <alignment horizontal="center" vertical="center" wrapText="1"/>
    </xf>
    <xf numFmtId="0" fontId="0" fillId="15" borderId="17" xfId="0" applyFont="1" applyFill="1" applyBorder="1" applyAlignment="1">
      <alignment horizontal="center" vertical="center"/>
    </xf>
    <xf numFmtId="0" fontId="0" fillId="15" borderId="18" xfId="0" applyFont="1" applyFill="1" applyBorder="1" applyAlignment="1">
      <alignment horizontal="center" vertical="center"/>
    </xf>
    <xf numFmtId="0" fontId="0" fillId="15" borderId="17" xfId="0" applyFont="1" applyFill="1" applyBorder="1" applyAlignment="1">
      <alignment horizontal="center" vertical="center" wrapText="1"/>
    </xf>
    <xf numFmtId="0" fontId="0" fillId="15" borderId="18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3" fillId="20" borderId="13" xfId="0" applyFont="1" applyFill="1" applyBorder="1" applyAlignment="1">
      <alignment horizontal="center"/>
    </xf>
    <xf numFmtId="0" fontId="13" fillId="20" borderId="19" xfId="0" applyFont="1" applyFill="1" applyBorder="1" applyAlignment="1">
      <alignment horizontal="center"/>
    </xf>
    <xf numFmtId="0" fontId="13" fillId="20" borderId="14" xfId="0" applyFont="1" applyFill="1" applyBorder="1" applyAlignment="1">
      <alignment horizontal="center"/>
    </xf>
    <xf numFmtId="0" fontId="0" fillId="15" borderId="28" xfId="0" applyFont="1" applyFill="1" applyBorder="1" applyAlignment="1">
      <alignment horizontal="center" vertical="center" wrapText="1"/>
    </xf>
    <xf numFmtId="0" fontId="0" fillId="15" borderId="29" xfId="0" applyFont="1" applyFill="1" applyBorder="1" applyAlignment="1">
      <alignment horizontal="center" vertical="center" wrapText="1"/>
    </xf>
    <xf numFmtId="0" fontId="0" fillId="15" borderId="30" xfId="0" applyFont="1" applyFill="1" applyBorder="1" applyAlignment="1">
      <alignment horizontal="center" vertical="center" wrapText="1"/>
    </xf>
    <xf numFmtId="0" fontId="0" fillId="15" borderId="15" xfId="0" applyFont="1" applyFill="1" applyBorder="1" applyAlignment="1">
      <alignment horizontal="center" wrapText="1"/>
    </xf>
    <xf numFmtId="0" fontId="0" fillId="15" borderId="16" xfId="0" applyFont="1" applyFill="1" applyBorder="1" applyAlignment="1">
      <alignment horizontal="center" wrapText="1"/>
    </xf>
    <xf numFmtId="0" fontId="0" fillId="15" borderId="33" xfId="0" applyFont="1" applyFill="1" applyBorder="1" applyAlignment="1">
      <alignment horizontal="center" wrapText="1"/>
    </xf>
    <xf numFmtId="0" fontId="0" fillId="15" borderId="12" xfId="0" applyFont="1" applyFill="1" applyBorder="1" applyAlignment="1">
      <alignment horizontal="center" wrapText="1"/>
    </xf>
    <xf numFmtId="0" fontId="0" fillId="15" borderId="28" xfId="0" applyFill="1" applyBorder="1" applyAlignment="1">
      <alignment horizontal="center" vertical="center" wrapText="1"/>
    </xf>
    <xf numFmtId="0" fontId="0" fillId="15" borderId="29" xfId="0" applyFill="1" applyBorder="1" applyAlignment="1">
      <alignment horizontal="center" vertical="center" wrapText="1"/>
    </xf>
    <xf numFmtId="0" fontId="0" fillId="15" borderId="30" xfId="0" applyFill="1" applyBorder="1" applyAlignment="1">
      <alignment horizontal="center" vertical="center" wrapText="1"/>
    </xf>
    <xf numFmtId="0" fontId="0" fillId="15" borderId="17" xfId="0" applyFont="1" applyFill="1" applyBorder="1" applyAlignment="1">
      <alignment horizontal="center" wrapText="1"/>
    </xf>
    <xf numFmtId="0" fontId="0" fillId="15" borderId="18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15" borderId="8" xfId="0" applyFont="1" applyFill="1" applyBorder="1" applyAlignment="1">
      <alignment horizontal="center"/>
    </xf>
    <xf numFmtId="0" fontId="0" fillId="15" borderId="8" xfId="0" applyFont="1" applyFill="1" applyBorder="1" applyAlignment="1">
      <alignment horizontal="center" vertical="center"/>
    </xf>
    <xf numFmtId="0" fontId="0" fillId="15" borderId="13" xfId="0" applyFont="1" applyFill="1" applyBorder="1" applyAlignment="1">
      <alignment horizontal="center" vertical="center"/>
    </xf>
    <xf numFmtId="0" fontId="0" fillId="15" borderId="1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0" fillId="15" borderId="8" xfId="0" applyFont="1" applyFill="1" applyBorder="1" applyAlignment="1">
      <alignment horizontal="center" vertical="center" wrapText="1"/>
    </xf>
    <xf numFmtId="0" fontId="13" fillId="12" borderId="0" xfId="0" applyFont="1" applyFill="1" applyBorder="1" applyAlignment="1">
      <alignment horizontal="center" vertical="center"/>
    </xf>
    <xf numFmtId="0" fontId="0" fillId="15" borderId="8" xfId="0" applyFill="1" applyBorder="1" applyAlignment="1">
      <alignment horizontal="center"/>
    </xf>
  </cellXfs>
  <cellStyles count="19">
    <cellStyle name="Accent" xfId="15"/>
    <cellStyle name="Accent 1" xfId="16"/>
    <cellStyle name="Accent 2" xfId="17"/>
    <cellStyle name="Accent 3" xfId="18"/>
    <cellStyle name="Bad" xfId="12"/>
    <cellStyle name="Collegamento ipertestuale" xfId="1" builtinId="8"/>
    <cellStyle name="Error" xfId="14"/>
    <cellStyle name="Footnote" xfId="7"/>
    <cellStyle name="Good" xfId="10"/>
    <cellStyle name="Heading" xfId="2"/>
    <cellStyle name="Heading 1" xfId="3"/>
    <cellStyle name="Heading 2" xfId="4"/>
    <cellStyle name="Hyperlink" xfId="8"/>
    <cellStyle name="Neutral" xfId="11"/>
    <cellStyle name="Normale" xfId="0" builtinId="0"/>
    <cellStyle name="Note" xfId="6"/>
    <cellStyle name="Status" xfId="9"/>
    <cellStyle name="Text" xfId="5"/>
    <cellStyle name="Warning" xfId="13"/>
  </cellStyles>
  <dxfs count="2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sz val="11"/>
        <color rgb="FF006100"/>
        <name val="Calibri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sz val="11"/>
        <color rgb="FF006100"/>
        <name val="Calibri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sz val="11"/>
        <color rgb="FF006100"/>
        <name val="Calibri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600"/>
      <rgbColor rgb="FF000080"/>
      <rgbColor rgb="FF996600"/>
      <rgbColor rgb="FF800080"/>
      <rgbColor rgb="FF008080"/>
      <rgbColor rgb="FFCCC1DA"/>
      <rgbColor rgb="FF808080"/>
      <rgbColor rgb="FFD9D9D9"/>
      <rgbColor rgb="FF993366"/>
      <rgbColor rgb="FFFFFFCC"/>
      <rgbColor rgb="FFDBEEF4"/>
      <rgbColor rgb="FF660066"/>
      <rgbColor rgb="FFDDD9C3"/>
      <rgbColor rgb="FF0066CC"/>
      <rgbColor rgb="FFC6D9F1"/>
      <rgbColor rgb="FF000080"/>
      <rgbColor rgb="FFFF00FF"/>
      <rgbColor rgb="FFFFDBA7"/>
      <rgbColor rgb="FF00FFFF"/>
      <rgbColor rgb="FF800080"/>
      <rgbColor rgb="FFCC0000"/>
      <rgbColor rgb="FF008080"/>
      <rgbColor rgb="FF0000EE"/>
      <rgbColor rgb="FF00CCFF"/>
      <rgbColor rgb="FFC6EFCE"/>
      <rgbColor rgb="FFCCFFCC"/>
      <rgbColor rgb="FFFFEB9C"/>
      <rgbColor rgb="FFB7DEE8"/>
      <rgbColor rgb="FFFFC7CE"/>
      <rgbColor rgb="FFFFCCCC"/>
      <rgbColor rgb="FFFFD28F"/>
      <rgbColor rgb="FF3366FF"/>
      <rgbColor rgb="FFDDDDDD"/>
      <rgbColor rgb="FF92D050"/>
      <rgbColor rgb="FFFAC090"/>
      <rgbColor rgb="FFF79646"/>
      <rgbColor rgb="FFFF6600"/>
      <rgbColor rgb="FF4F6228"/>
      <rgbColor rgb="FFC3D69B"/>
      <rgbColor rgb="FF003366"/>
      <rgbColor rgb="FFEBF1DE"/>
      <rgbColor rgb="FF006100"/>
      <rgbColor rgb="FF333300"/>
      <rgbColor rgb="FF9C65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5D5"/>
      <color rgb="FFF5FF97"/>
      <color rgb="FFCCFFCC"/>
      <color rgb="FF99FF99"/>
      <color rgb="FFFFA3A3"/>
      <color rgb="FFF0CF0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-nc-sa/4.0/deed.i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3" Type="http://schemas.openxmlformats.org/officeDocument/2006/relationships/image" Target="../media/image6.jpeg"/><Relationship Id="rId7" Type="http://schemas.openxmlformats.org/officeDocument/2006/relationships/image" Target="../media/image10.jpeg"/><Relationship Id="rId2" Type="http://schemas.openxmlformats.org/officeDocument/2006/relationships/image" Target="../media/image5.png"/><Relationship Id="rId1" Type="http://schemas.openxmlformats.org/officeDocument/2006/relationships/hyperlink" Target="https://creativecommons.org/licenses/by-nc-sa/4.0/deed.it" TargetMode="External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460935</xdr:colOff>
      <xdr:row>18</xdr:row>
      <xdr:rowOff>186975</xdr:rowOff>
    </xdr:from>
    <xdr:to>
      <xdr:col>9</xdr:col>
      <xdr:colOff>120375</xdr:colOff>
      <xdr:row>20</xdr:row>
      <xdr:rowOff>49095</xdr:rowOff>
    </xdr:to>
    <xdr:pic>
      <xdr:nvPicPr>
        <xdr:cNvPr id="2" name="Immagine 2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4528110" y="3615975"/>
          <a:ext cx="821490" cy="24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371475</xdr:colOff>
      <xdr:row>3</xdr:row>
      <xdr:rowOff>0</xdr:rowOff>
    </xdr:from>
    <xdr:to>
      <xdr:col>4</xdr:col>
      <xdr:colOff>571500</xdr:colOff>
      <xdr:row>14</xdr:row>
      <xdr:rowOff>73914</xdr:rowOff>
    </xdr:to>
    <xdr:pic>
      <xdr:nvPicPr>
        <xdr:cNvPr id="8" name="Immagine 7" descr="spaccato2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6174" t="5697" r="21570"/>
        <a:stretch>
          <a:fillRect/>
        </a:stretch>
      </xdr:blipFill>
      <xdr:spPr>
        <a:xfrm>
          <a:off x="952500" y="581025"/>
          <a:ext cx="1943100" cy="22075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15</xdr:col>
      <xdr:colOff>200025</xdr:colOff>
      <xdr:row>14</xdr:row>
      <xdr:rowOff>73914</xdr:rowOff>
    </xdr:to>
    <xdr:pic>
      <xdr:nvPicPr>
        <xdr:cNvPr id="9" name="Immagine 8" descr="spaccato2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6174" t="5697" r="21570"/>
        <a:stretch>
          <a:fillRect/>
        </a:stretch>
      </xdr:blipFill>
      <xdr:spPr>
        <a:xfrm>
          <a:off x="6972300" y="581025"/>
          <a:ext cx="1943100" cy="22075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2880</xdr:colOff>
      <xdr:row>2</xdr:row>
      <xdr:rowOff>42120</xdr:rowOff>
    </xdr:from>
    <xdr:to>
      <xdr:col>12</xdr:col>
      <xdr:colOff>75600</xdr:colOff>
      <xdr:row>15</xdr:row>
      <xdr:rowOff>94515</xdr:rowOff>
    </xdr:to>
    <xdr:pic>
      <xdr:nvPicPr>
        <xdr:cNvPr id="2" name="Immagine 3"/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/>
      </xdr:blipFill>
      <xdr:spPr>
        <a:xfrm>
          <a:off x="4287600" y="392400"/>
          <a:ext cx="3133440" cy="2340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2880</xdr:colOff>
      <xdr:row>16</xdr:row>
      <xdr:rowOff>0</xdr:rowOff>
    </xdr:from>
    <xdr:to>
      <xdr:col>12</xdr:col>
      <xdr:colOff>75600</xdr:colOff>
      <xdr:row>29</xdr:row>
      <xdr:rowOff>61920</xdr:rowOff>
    </xdr:to>
    <xdr:pic>
      <xdr:nvPicPr>
        <xdr:cNvPr id="3" name="Immagine 4"/>
        <xdr:cNvPicPr/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/>
      </xdr:blipFill>
      <xdr:spPr>
        <a:xfrm>
          <a:off x="4287600" y="2804040"/>
          <a:ext cx="3133440" cy="2340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146160</xdr:colOff>
      <xdr:row>35</xdr:row>
      <xdr:rowOff>15840</xdr:rowOff>
    </xdr:from>
    <xdr:to>
      <xdr:col>5</xdr:col>
      <xdr:colOff>417600</xdr:colOff>
      <xdr:row>36</xdr:row>
      <xdr:rowOff>53280</xdr:rowOff>
    </xdr:to>
    <xdr:pic>
      <xdr:nvPicPr>
        <xdr:cNvPr id="9" name="Immagine 2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2594520" y="6363000"/>
          <a:ext cx="883440" cy="212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581024</xdr:colOff>
      <xdr:row>153</xdr:row>
      <xdr:rowOff>0</xdr:rowOff>
    </xdr:from>
    <xdr:to>
      <xdr:col>7</xdr:col>
      <xdr:colOff>505882</xdr:colOff>
      <xdr:row>185</xdr:row>
      <xdr:rowOff>38100</xdr:rowOff>
    </xdr:to>
    <xdr:pic>
      <xdr:nvPicPr>
        <xdr:cNvPr id="10" name="Immagine 9" descr="fig27-pag2180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1024" y="29146500"/>
          <a:ext cx="3992033" cy="6134100"/>
        </a:xfrm>
        <a:prstGeom prst="rect">
          <a:avLst/>
        </a:prstGeom>
      </xdr:spPr>
    </xdr:pic>
    <xdr:clientData/>
  </xdr:twoCellAnchor>
  <xdr:twoCellAnchor editAs="oneCell">
    <xdr:from>
      <xdr:col>10</xdr:col>
      <xdr:colOff>380999</xdr:colOff>
      <xdr:row>142</xdr:row>
      <xdr:rowOff>180975</xdr:rowOff>
    </xdr:from>
    <xdr:to>
      <xdr:col>19</xdr:col>
      <xdr:colOff>260190</xdr:colOff>
      <xdr:row>182</xdr:row>
      <xdr:rowOff>76203</xdr:rowOff>
    </xdr:to>
    <xdr:pic>
      <xdr:nvPicPr>
        <xdr:cNvPr id="11" name="Immagine 10" descr="fig30b-pag2183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5400000">
          <a:off x="5002131" y="28421093"/>
          <a:ext cx="7515228" cy="5136991"/>
        </a:xfrm>
        <a:prstGeom prst="rect">
          <a:avLst/>
        </a:prstGeom>
      </xdr:spPr>
    </xdr:pic>
    <xdr:clientData/>
  </xdr:twoCellAnchor>
  <xdr:twoCellAnchor editAs="oneCell">
    <xdr:from>
      <xdr:col>11</xdr:col>
      <xdr:colOff>360044</xdr:colOff>
      <xdr:row>190</xdr:row>
      <xdr:rowOff>1904</xdr:rowOff>
    </xdr:from>
    <xdr:to>
      <xdr:col>18</xdr:col>
      <xdr:colOff>200024</xdr:colOff>
      <xdr:row>233</xdr:row>
      <xdr:rowOff>19213</xdr:rowOff>
    </xdr:to>
    <xdr:pic>
      <xdr:nvPicPr>
        <xdr:cNvPr id="12" name="Immagine 11" descr="fig30a-pag2183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4614779" y="38333444"/>
          <a:ext cx="8208809" cy="3935730"/>
        </a:xfrm>
        <a:prstGeom prst="rect">
          <a:avLst/>
        </a:prstGeom>
      </xdr:spPr>
    </xdr:pic>
    <xdr:clientData/>
  </xdr:twoCellAnchor>
  <xdr:twoCellAnchor editAs="oneCell">
    <xdr:from>
      <xdr:col>11</xdr:col>
      <xdr:colOff>342899</xdr:colOff>
      <xdr:row>236</xdr:row>
      <xdr:rowOff>190499</xdr:rowOff>
    </xdr:from>
    <xdr:to>
      <xdr:col>17</xdr:col>
      <xdr:colOff>228600</xdr:colOff>
      <xdr:row>257</xdr:row>
      <xdr:rowOff>169221</xdr:rowOff>
    </xdr:to>
    <xdr:pic>
      <xdr:nvPicPr>
        <xdr:cNvPr id="13" name="Immagine 12" descr="fig29-pag2182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734174" y="45148499"/>
          <a:ext cx="3400426" cy="3979222"/>
        </a:xfrm>
        <a:prstGeom prst="rect">
          <a:avLst/>
        </a:prstGeom>
      </xdr:spPr>
    </xdr:pic>
    <xdr:clientData/>
  </xdr:twoCellAnchor>
  <xdr:twoCellAnchor editAs="oneCell">
    <xdr:from>
      <xdr:col>11</xdr:col>
      <xdr:colOff>38099</xdr:colOff>
      <xdr:row>259</xdr:row>
      <xdr:rowOff>9524</xdr:rowOff>
    </xdr:from>
    <xdr:to>
      <xdr:col>17</xdr:col>
      <xdr:colOff>547687</xdr:colOff>
      <xdr:row>279</xdr:row>
      <xdr:rowOff>38099</xdr:rowOff>
    </xdr:to>
    <xdr:pic>
      <xdr:nvPicPr>
        <xdr:cNvPr id="14" name="Immagine 13" descr="fig29a.jp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429374" y="49349024"/>
          <a:ext cx="4024313" cy="383857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47626</xdr:colOff>
      <xdr:row>10</xdr:row>
      <xdr:rowOff>1</xdr:rowOff>
    </xdr:from>
    <xdr:to>
      <xdr:col>5</xdr:col>
      <xdr:colOff>438240</xdr:colOff>
      <xdr:row>15</xdr:row>
      <xdr:rowOff>150862</xdr:rowOff>
    </xdr:to>
    <xdr:pic>
      <xdr:nvPicPr>
        <xdr:cNvPr id="15" name="Immagine 14" descr="spaccato2.jpg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6174" t="5697" r="21570"/>
        <a:stretch>
          <a:fillRect/>
        </a:stretch>
      </xdr:blipFill>
      <xdr:spPr>
        <a:xfrm>
          <a:off x="2371726" y="1905001"/>
          <a:ext cx="971639" cy="11033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L32"/>
  <sheetViews>
    <sheetView showGridLines="0" tabSelected="1" workbookViewId="0"/>
  </sheetViews>
  <sheetFormatPr defaultRowHeight="15"/>
  <cols>
    <col min="1" max="1025" width="8.7109375" customWidth="1"/>
  </cols>
  <sheetData>
    <row r="1" spans="6:12">
      <c r="F1" s="141" t="s">
        <v>0</v>
      </c>
      <c r="G1" s="142"/>
      <c r="H1" s="142"/>
      <c r="I1" s="142"/>
      <c r="J1" s="142"/>
      <c r="K1" s="142"/>
      <c r="L1" s="143"/>
    </row>
    <row r="2" spans="6:12">
      <c r="F2" s="144" t="s">
        <v>1</v>
      </c>
      <c r="G2" s="145"/>
      <c r="H2" s="145"/>
      <c r="I2" s="145"/>
      <c r="J2" s="145"/>
      <c r="K2" s="145"/>
      <c r="L2" s="146"/>
    </row>
    <row r="3" spans="6:12" ht="15.75" thickBot="1">
      <c r="F3" s="147" t="s">
        <v>2</v>
      </c>
      <c r="G3" s="148"/>
      <c r="H3" s="148"/>
      <c r="I3" s="148"/>
      <c r="J3" s="148"/>
      <c r="K3" s="148"/>
      <c r="L3" s="149"/>
    </row>
    <row r="4" spans="6:12">
      <c r="I4" s="2"/>
      <c r="J4" s="2"/>
      <c r="K4" s="2"/>
      <c r="L4" s="2"/>
    </row>
    <row r="5" spans="6:12">
      <c r="F5" s="150" t="s">
        <v>3</v>
      </c>
      <c r="G5" s="150"/>
      <c r="H5" s="150"/>
      <c r="I5" s="150"/>
      <c r="J5" s="150"/>
      <c r="K5" s="150"/>
      <c r="L5" s="150"/>
    </row>
    <row r="6" spans="6:12" ht="15.75" thickBot="1">
      <c r="F6" s="150" t="s">
        <v>5</v>
      </c>
      <c r="G6" s="150"/>
      <c r="H6" s="150"/>
      <c r="I6" s="150"/>
      <c r="J6" s="150"/>
      <c r="K6" s="150"/>
      <c r="L6" s="150"/>
    </row>
    <row r="7" spans="6:12" ht="15.75" thickBot="1">
      <c r="F7" s="151" t="s">
        <v>6</v>
      </c>
      <c r="G7" s="152"/>
      <c r="H7" s="152"/>
      <c r="I7" s="152"/>
      <c r="J7" s="152"/>
      <c r="K7" s="152"/>
      <c r="L7" s="153"/>
    </row>
    <row r="8" spans="6:12">
      <c r="F8" s="154" t="s">
        <v>8</v>
      </c>
      <c r="G8" s="154"/>
      <c r="H8" s="154"/>
      <c r="I8" s="154"/>
      <c r="J8" s="154"/>
      <c r="K8" s="154"/>
      <c r="L8" s="154"/>
    </row>
    <row r="9" spans="6:12">
      <c r="I9" s="45"/>
      <c r="J9" s="45"/>
      <c r="K9" s="45"/>
      <c r="L9" s="45"/>
    </row>
    <row r="10" spans="6:12">
      <c r="F10" s="155" t="s">
        <v>9</v>
      </c>
      <c r="G10" s="156"/>
      <c r="H10" s="156"/>
      <c r="I10" s="156"/>
      <c r="J10" s="156"/>
      <c r="K10" s="156"/>
      <c r="L10" s="157"/>
    </row>
    <row r="11" spans="6:12" ht="15.75" thickBot="1">
      <c r="I11" s="133" t="s">
        <v>10</v>
      </c>
      <c r="J11" s="133"/>
      <c r="K11" s="133"/>
      <c r="L11" s="133"/>
    </row>
    <row r="12" spans="6:12" ht="15.75" thickBot="1">
      <c r="F12" s="151" t="s">
        <v>11</v>
      </c>
      <c r="G12" s="158"/>
      <c r="H12" s="158"/>
      <c r="I12" s="158"/>
      <c r="J12" s="158"/>
      <c r="K12" s="158"/>
      <c r="L12" s="159"/>
    </row>
    <row r="13" spans="6:12">
      <c r="I13" s="45"/>
      <c r="J13" s="45"/>
      <c r="K13" s="45"/>
      <c r="L13" s="45"/>
    </row>
    <row r="14" spans="6:12">
      <c r="F14" s="160" t="s">
        <v>12</v>
      </c>
      <c r="G14" s="160"/>
      <c r="H14" s="160"/>
      <c r="I14" s="160"/>
      <c r="J14" s="160"/>
      <c r="K14" s="160"/>
      <c r="L14" s="160"/>
    </row>
    <row r="15" spans="6:12">
      <c r="F15" s="160" t="s">
        <v>13</v>
      </c>
      <c r="G15" s="160"/>
      <c r="H15" s="160"/>
      <c r="I15" s="160"/>
      <c r="J15" s="160"/>
      <c r="K15" s="160"/>
      <c r="L15" s="160"/>
    </row>
    <row r="16" spans="6:12">
      <c r="I16" s="45"/>
      <c r="J16" s="45"/>
      <c r="K16" s="45"/>
      <c r="L16" s="45"/>
    </row>
    <row r="17" spans="6:12">
      <c r="F17" s="140" t="s">
        <v>14</v>
      </c>
      <c r="G17" s="140"/>
      <c r="H17" s="140"/>
      <c r="I17" s="140"/>
      <c r="J17" s="140"/>
      <c r="K17" s="140"/>
      <c r="L17" s="140"/>
    </row>
    <row r="18" spans="6:12">
      <c r="F18" s="140" t="s">
        <v>15</v>
      </c>
      <c r="G18" s="140"/>
      <c r="H18" s="140"/>
      <c r="I18" s="140"/>
      <c r="J18" s="140"/>
      <c r="K18" s="140"/>
      <c r="L18" s="140"/>
    </row>
    <row r="19" spans="6:12">
      <c r="I19" s="45"/>
      <c r="J19" s="45"/>
      <c r="K19" s="45"/>
      <c r="L19" s="45"/>
    </row>
    <row r="20" spans="6:12">
      <c r="I20" s="45"/>
      <c r="J20" s="45"/>
      <c r="K20" s="45"/>
      <c r="L20" s="45"/>
    </row>
    <row r="21" spans="6:12">
      <c r="I21" s="45"/>
      <c r="J21" s="45"/>
      <c r="K21" s="45"/>
      <c r="L21" s="45"/>
    </row>
    <row r="22" spans="6:12">
      <c r="G22" s="8" t="s">
        <v>583</v>
      </c>
      <c r="H22" s="45"/>
      <c r="I22" s="45"/>
      <c r="J22" s="45"/>
      <c r="K22" s="45"/>
      <c r="L22" s="45"/>
    </row>
    <row r="23" spans="6:12">
      <c r="G23" s="85"/>
      <c r="H23" s="45" t="s">
        <v>4</v>
      </c>
      <c r="I23" s="45"/>
      <c r="J23" s="45"/>
      <c r="K23" s="45"/>
      <c r="L23" s="45"/>
    </row>
    <row r="24" spans="6:12">
      <c r="G24" s="113"/>
      <c r="H24" s="45" t="s">
        <v>602</v>
      </c>
      <c r="I24" s="45"/>
      <c r="J24" s="45"/>
      <c r="K24" s="45"/>
      <c r="L24" s="45"/>
    </row>
    <row r="25" spans="6:12">
      <c r="G25" s="139"/>
      <c r="H25" s="45" t="s">
        <v>607</v>
      </c>
      <c r="I25" s="45"/>
      <c r="J25" s="45"/>
      <c r="K25" s="45"/>
      <c r="L25" s="45"/>
    </row>
    <row r="26" spans="6:12">
      <c r="G26" s="3"/>
      <c r="H26" s="45" t="s">
        <v>600</v>
      </c>
      <c r="I26" s="45"/>
      <c r="J26" s="45"/>
      <c r="K26" s="45"/>
      <c r="L26" s="45"/>
    </row>
    <row r="27" spans="6:12">
      <c r="G27" s="118"/>
      <c r="H27" s="45" t="s">
        <v>606</v>
      </c>
      <c r="K27" s="45"/>
      <c r="L27" s="45"/>
    </row>
    <row r="28" spans="6:12">
      <c r="G28" s="45" t="s">
        <v>126</v>
      </c>
      <c r="H28" s="45" t="s">
        <v>582</v>
      </c>
      <c r="K28" s="45"/>
      <c r="L28" s="45"/>
    </row>
    <row r="29" spans="6:12">
      <c r="G29" s="45" t="s">
        <v>100</v>
      </c>
      <c r="H29" s="45" t="s">
        <v>599</v>
      </c>
      <c r="K29" s="45"/>
      <c r="L29" s="45"/>
    </row>
    <row r="30" spans="6:12">
      <c r="K30" s="45"/>
      <c r="L30" s="45"/>
    </row>
    <row r="31" spans="6:12">
      <c r="K31" s="45"/>
      <c r="L31" s="45"/>
    </row>
    <row r="32" spans="6:12">
      <c r="K32" s="45"/>
      <c r="L32" s="45"/>
    </row>
  </sheetData>
  <mergeCells count="13">
    <mergeCell ref="F18:L18"/>
    <mergeCell ref="F1:L1"/>
    <mergeCell ref="F2:L2"/>
    <mergeCell ref="F3:L3"/>
    <mergeCell ref="F5:L5"/>
    <mergeCell ref="F6:L6"/>
    <mergeCell ref="F7:L7"/>
    <mergeCell ref="F8:L8"/>
    <mergeCell ref="F10:L10"/>
    <mergeCell ref="F12:L12"/>
    <mergeCell ref="F14:L14"/>
    <mergeCell ref="F15:L15"/>
    <mergeCell ref="F17:L17"/>
  </mergeCells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2"/>
  <sheetViews>
    <sheetView showGridLines="0" workbookViewId="0"/>
  </sheetViews>
  <sheetFormatPr defaultRowHeight="15"/>
  <cols>
    <col min="1" max="1025" width="8.7109375" customWidth="1"/>
  </cols>
  <sheetData>
    <row r="2" spans="1:20">
      <c r="A2" s="7"/>
      <c r="B2" s="163" t="s">
        <v>604</v>
      </c>
      <c r="C2" s="163"/>
      <c r="D2" s="163"/>
      <c r="E2" s="163"/>
      <c r="F2" s="163"/>
    </row>
    <row r="3" spans="1:20" ht="15.75" thickBot="1">
      <c r="B3" s="164" t="s">
        <v>605</v>
      </c>
      <c r="C3" s="164"/>
      <c r="D3" s="164"/>
      <c r="E3" s="164"/>
      <c r="F3" s="164"/>
      <c r="N3" t="s">
        <v>17</v>
      </c>
    </row>
    <row r="4" spans="1:20">
      <c r="B4" s="165" t="s">
        <v>18</v>
      </c>
      <c r="C4" s="165"/>
      <c r="D4" s="165"/>
      <c r="E4" s="165"/>
      <c r="F4" s="9" t="s">
        <v>19</v>
      </c>
      <c r="N4" s="8" t="s">
        <v>20</v>
      </c>
    </row>
    <row r="5" spans="1:20">
      <c r="B5" s="161" t="s">
        <v>21</v>
      </c>
      <c r="C5" s="161"/>
      <c r="D5" s="161"/>
      <c r="E5" s="161"/>
      <c r="F5" s="10" t="s">
        <v>22</v>
      </c>
    </row>
    <row r="6" spans="1:20">
      <c r="B6" s="161" t="s">
        <v>23</v>
      </c>
      <c r="C6" s="161"/>
      <c r="D6" s="161"/>
      <c r="E6" s="161"/>
      <c r="F6" s="10" t="s">
        <v>24</v>
      </c>
      <c r="N6" s="11" t="s">
        <v>25</v>
      </c>
      <c r="P6" t="s">
        <v>26</v>
      </c>
    </row>
    <row r="7" spans="1:20">
      <c r="B7" s="161" t="s">
        <v>27</v>
      </c>
      <c r="C7" s="161"/>
      <c r="D7" s="161"/>
      <c r="E7" s="161"/>
      <c r="F7" s="10" t="s">
        <v>28</v>
      </c>
      <c r="N7" s="11">
        <v>85</v>
      </c>
      <c r="O7" s="12" t="s">
        <v>29</v>
      </c>
      <c r="P7" t="s">
        <v>30</v>
      </c>
      <c r="R7" s="13"/>
    </row>
    <row r="8" spans="1:20">
      <c r="B8" s="162" t="s">
        <v>31</v>
      </c>
      <c r="C8" s="162"/>
      <c r="D8" s="162"/>
      <c r="E8" s="162"/>
      <c r="F8" s="14" t="s">
        <v>32</v>
      </c>
      <c r="N8" s="11">
        <v>35</v>
      </c>
      <c r="O8" s="12" t="s">
        <v>33</v>
      </c>
      <c r="P8" t="s">
        <v>34</v>
      </c>
      <c r="R8" s="13"/>
    </row>
    <row r="9" spans="1:20">
      <c r="B9" s="7" t="s">
        <v>16</v>
      </c>
      <c r="N9" s="11">
        <v>800</v>
      </c>
      <c r="O9" s="12">
        <v>800</v>
      </c>
      <c r="P9" s="6" t="s">
        <v>35</v>
      </c>
      <c r="R9" s="13"/>
    </row>
    <row r="10" spans="1:20">
      <c r="N10" s="11" t="s">
        <v>37</v>
      </c>
      <c r="P10" s="6" t="s">
        <v>38</v>
      </c>
    </row>
    <row r="11" spans="1:20">
      <c r="B11" t="s">
        <v>36</v>
      </c>
      <c r="N11" s="11" t="s">
        <v>42</v>
      </c>
      <c r="P11" s="6" t="s">
        <v>43</v>
      </c>
    </row>
    <row r="12" spans="1:20">
      <c r="C12" t="s">
        <v>39</v>
      </c>
      <c r="E12" s="12" t="s">
        <v>40</v>
      </c>
      <c r="F12" s="13" t="s">
        <v>41</v>
      </c>
      <c r="N12" s="15"/>
      <c r="P12" s="6" t="s">
        <v>47</v>
      </c>
    </row>
    <row r="13" spans="1:20">
      <c r="C13" t="s">
        <v>44</v>
      </c>
      <c r="E13" s="12" t="s">
        <v>45</v>
      </c>
      <c r="F13" s="13" t="s">
        <v>46</v>
      </c>
      <c r="G13" s="6"/>
    </row>
    <row r="14" spans="1:20">
      <c r="C14" s="6" t="s">
        <v>48</v>
      </c>
      <c r="E14" s="12" t="s">
        <v>49</v>
      </c>
      <c r="F14" s="13" t="s">
        <v>50</v>
      </c>
      <c r="N14" s="16" t="s">
        <v>52</v>
      </c>
      <c r="O14" s="16"/>
      <c r="P14" s="16"/>
      <c r="Q14" s="16"/>
      <c r="R14" s="16"/>
      <c r="S14" s="16"/>
      <c r="T14" s="16"/>
    </row>
    <row r="15" spans="1:20">
      <c r="C15" s="6" t="s">
        <v>51</v>
      </c>
      <c r="E15">
        <v>1000</v>
      </c>
      <c r="F15" s="13" t="s">
        <v>46</v>
      </c>
      <c r="N15" s="16" t="s">
        <v>54</v>
      </c>
      <c r="O15" s="16"/>
      <c r="P15" s="16"/>
      <c r="Q15" s="16"/>
      <c r="R15" s="16"/>
      <c r="S15" s="16"/>
      <c r="T15" s="16"/>
    </row>
    <row r="16" spans="1:20">
      <c r="C16" s="17" t="s">
        <v>53</v>
      </c>
      <c r="D16" s="17"/>
      <c r="E16" s="17"/>
      <c r="F16" s="17"/>
      <c r="N16" s="16" t="s">
        <v>56</v>
      </c>
      <c r="O16" s="16"/>
      <c r="P16" s="16"/>
      <c r="Q16" s="16"/>
      <c r="R16" s="16"/>
      <c r="S16" s="16"/>
      <c r="T16" s="16"/>
    </row>
    <row r="17" spans="2:20">
      <c r="C17" s="17" t="s">
        <v>55</v>
      </c>
      <c r="D17" s="17"/>
      <c r="E17" s="17"/>
      <c r="F17" s="17"/>
      <c r="N17" s="5"/>
      <c r="O17" s="5"/>
      <c r="P17" s="5"/>
      <c r="Q17" s="5"/>
      <c r="R17" s="5"/>
      <c r="S17" s="5"/>
      <c r="T17" s="5"/>
    </row>
    <row r="18" spans="2:20">
      <c r="C18" s="17" t="s">
        <v>57</v>
      </c>
      <c r="D18" s="17"/>
      <c r="E18" s="17"/>
      <c r="F18" s="17"/>
      <c r="N18" s="5"/>
      <c r="O18" s="5"/>
      <c r="P18" s="5"/>
      <c r="Q18" s="5"/>
      <c r="R18" s="5"/>
      <c r="S18" s="5"/>
      <c r="T18" s="5"/>
    </row>
    <row r="19" spans="2:20">
      <c r="N19" s="5"/>
      <c r="O19" s="5"/>
      <c r="P19" s="5"/>
      <c r="Q19" s="18"/>
      <c r="R19" s="5"/>
      <c r="S19" s="5"/>
      <c r="T19" s="5"/>
    </row>
    <row r="20" spans="2:20">
      <c r="B20" t="s">
        <v>58</v>
      </c>
      <c r="N20" s="5"/>
      <c r="O20" s="5"/>
      <c r="P20" s="5"/>
      <c r="Q20" s="18"/>
      <c r="R20" s="5"/>
      <c r="S20" s="5"/>
      <c r="T20" s="5"/>
    </row>
    <row r="21" spans="2:20">
      <c r="C21" t="s">
        <v>39</v>
      </c>
      <c r="E21" s="12" t="s">
        <v>59</v>
      </c>
      <c r="F21" s="13" t="s">
        <v>41</v>
      </c>
      <c r="N21" s="5"/>
      <c r="O21" s="5"/>
      <c r="P21" s="5"/>
      <c r="Q21" s="18"/>
      <c r="R21" s="5"/>
      <c r="S21" s="5"/>
      <c r="T21" s="5"/>
    </row>
    <row r="22" spans="2:20">
      <c r="C22" t="s">
        <v>44</v>
      </c>
      <c r="E22" t="s">
        <v>60</v>
      </c>
      <c r="F22" s="13" t="s">
        <v>46</v>
      </c>
      <c r="N22" s="5"/>
      <c r="O22" s="5"/>
      <c r="P22" s="5"/>
      <c r="Q22" s="5"/>
      <c r="R22" s="5"/>
      <c r="S22" s="5"/>
      <c r="T22" s="5"/>
    </row>
    <row r="23" spans="2:20">
      <c r="C23" s="6" t="s">
        <v>48</v>
      </c>
      <c r="E23" s="12" t="s">
        <v>61</v>
      </c>
      <c r="F23" s="13" t="s">
        <v>50</v>
      </c>
      <c r="N23" s="5"/>
      <c r="O23" s="5"/>
      <c r="P23" s="5"/>
      <c r="Q23" s="5"/>
      <c r="R23" s="5"/>
      <c r="S23" s="5"/>
      <c r="T23" s="5"/>
    </row>
    <row r="24" spans="2:20">
      <c r="C24" s="6" t="s">
        <v>51</v>
      </c>
      <c r="E24">
        <v>1000</v>
      </c>
      <c r="F24" s="13" t="s">
        <v>46</v>
      </c>
      <c r="N24" s="5"/>
      <c r="O24" s="5"/>
      <c r="P24" s="5"/>
      <c r="Q24" s="5"/>
      <c r="R24" s="5"/>
      <c r="S24" s="5"/>
      <c r="T24" s="5"/>
    </row>
    <row r="25" spans="2:20">
      <c r="C25" s="17" t="s">
        <v>53</v>
      </c>
      <c r="N25" s="5"/>
      <c r="O25" s="5"/>
      <c r="P25" s="5"/>
      <c r="Q25" s="5"/>
      <c r="R25" s="5"/>
      <c r="S25" s="5"/>
      <c r="T25" s="5"/>
    </row>
    <row r="26" spans="2:20">
      <c r="C26" s="17" t="s">
        <v>62</v>
      </c>
      <c r="N26" s="5"/>
      <c r="O26" s="5"/>
      <c r="P26" s="5"/>
      <c r="Q26" s="5"/>
      <c r="R26" s="5"/>
      <c r="S26" s="5"/>
      <c r="T26" s="5"/>
    </row>
    <row r="27" spans="2:20">
      <c r="C27" s="17" t="s">
        <v>63</v>
      </c>
    </row>
    <row r="29" spans="2:20">
      <c r="B29" t="s">
        <v>64</v>
      </c>
    </row>
    <row r="30" spans="2:20">
      <c r="C30" t="s">
        <v>39</v>
      </c>
      <c r="E30" s="12" t="s">
        <v>65</v>
      </c>
      <c r="F30" s="13" t="s">
        <v>41</v>
      </c>
    </row>
    <row r="31" spans="2:20">
      <c r="C31" t="s">
        <v>44</v>
      </c>
      <c r="E31" t="s">
        <v>66</v>
      </c>
      <c r="F31" s="13" t="s">
        <v>46</v>
      </c>
    </row>
    <row r="32" spans="2:20">
      <c r="C32" s="6" t="s">
        <v>48</v>
      </c>
      <c r="E32" s="12" t="s">
        <v>67</v>
      </c>
      <c r="F32" s="13" t="s">
        <v>50</v>
      </c>
    </row>
    <row r="33" spans="2:6">
      <c r="C33" s="6" t="s">
        <v>51</v>
      </c>
      <c r="E33" s="12" t="s">
        <v>68</v>
      </c>
      <c r="F33" s="13" t="s">
        <v>46</v>
      </c>
    </row>
    <row r="34" spans="2:6">
      <c r="C34" s="17" t="s">
        <v>53</v>
      </c>
    </row>
    <row r="35" spans="2:6">
      <c r="C35" s="17" t="s">
        <v>69</v>
      </c>
    </row>
    <row r="37" spans="2:6">
      <c r="B37" t="s">
        <v>70</v>
      </c>
    </row>
    <row r="38" spans="2:6">
      <c r="C38" t="s">
        <v>44</v>
      </c>
      <c r="E38" s="12" t="s">
        <v>71</v>
      </c>
      <c r="F38" s="13" t="s">
        <v>46</v>
      </c>
    </row>
    <row r="39" spans="2:6">
      <c r="C39" s="6" t="s">
        <v>51</v>
      </c>
      <c r="E39" s="12">
        <v>1000</v>
      </c>
      <c r="F39" s="13" t="s">
        <v>46</v>
      </c>
    </row>
    <row r="40" spans="2:6">
      <c r="C40" s="17" t="s">
        <v>53</v>
      </c>
    </row>
    <row r="41" spans="2:6">
      <c r="C41" s="17" t="s">
        <v>72</v>
      </c>
    </row>
    <row r="42" spans="2:6">
      <c r="C42" s="17" t="s">
        <v>73</v>
      </c>
    </row>
  </sheetData>
  <mergeCells count="7">
    <mergeCell ref="B7:E7"/>
    <mergeCell ref="B8:E8"/>
    <mergeCell ref="B2:F2"/>
    <mergeCell ref="B3:F3"/>
    <mergeCell ref="B4:E4"/>
    <mergeCell ref="B5:E5"/>
    <mergeCell ref="B6:E6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3"/>
  <sheetViews>
    <sheetView showGridLines="0" workbookViewId="0">
      <pane ySplit="11" topLeftCell="A12" activePane="bottomLeft" state="frozen"/>
      <selection pane="bottomLeft" activeCell="A12" sqref="A12"/>
    </sheetView>
  </sheetViews>
  <sheetFormatPr defaultRowHeight="15"/>
  <cols>
    <col min="1" max="19" width="9.140625" customWidth="1"/>
    <col min="20" max="1025" width="8.7109375" customWidth="1"/>
  </cols>
  <sheetData>
    <row r="1" spans="1:24">
      <c r="A1" s="179" t="s">
        <v>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9"/>
      <c r="U1" s="19"/>
      <c r="V1" s="19"/>
    </row>
    <row r="2" spans="1:24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9"/>
      <c r="U2" s="19"/>
      <c r="V2" s="19"/>
    </row>
    <row r="3" spans="1:24">
      <c r="A3" s="180" t="s">
        <v>75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2"/>
      <c r="T3" s="88"/>
      <c r="U3" s="88"/>
    </row>
    <row r="4" spans="1:24">
      <c r="A4" s="20" t="s">
        <v>76</v>
      </c>
      <c r="B4" s="20" t="s">
        <v>42</v>
      </c>
      <c r="C4" s="20" t="s">
        <v>77</v>
      </c>
      <c r="D4" s="20" t="s">
        <v>78</v>
      </c>
      <c r="E4" s="20" t="s">
        <v>79</v>
      </c>
      <c r="F4" s="20" t="s">
        <v>80</v>
      </c>
      <c r="G4" s="20" t="s">
        <v>81</v>
      </c>
      <c r="H4" s="20" t="s">
        <v>82</v>
      </c>
      <c r="I4" s="20" t="s">
        <v>83</v>
      </c>
      <c r="J4" s="20" t="s">
        <v>84</v>
      </c>
      <c r="K4" s="20" t="s">
        <v>85</v>
      </c>
      <c r="L4" s="21" t="s">
        <v>86</v>
      </c>
      <c r="M4" s="20" t="s">
        <v>574</v>
      </c>
      <c r="N4" s="20" t="s">
        <v>87</v>
      </c>
      <c r="O4" s="126" t="s">
        <v>88</v>
      </c>
      <c r="P4" s="20" t="s">
        <v>89</v>
      </c>
      <c r="Q4" s="20" t="s">
        <v>90</v>
      </c>
      <c r="R4" s="127" t="s">
        <v>247</v>
      </c>
      <c r="S4" s="127" t="s">
        <v>248</v>
      </c>
    </row>
    <row r="5" spans="1:24">
      <c r="A5" s="22" t="s">
        <v>91</v>
      </c>
      <c r="B5" s="22" t="s">
        <v>92</v>
      </c>
      <c r="C5" s="22" t="s">
        <v>93</v>
      </c>
      <c r="D5" s="22" t="s">
        <v>94</v>
      </c>
      <c r="E5" s="22"/>
      <c r="F5" s="22" t="s">
        <v>95</v>
      </c>
      <c r="G5" s="22" t="s">
        <v>95</v>
      </c>
      <c r="H5" s="22" t="s">
        <v>96</v>
      </c>
      <c r="I5" s="22"/>
      <c r="J5" s="22"/>
      <c r="K5" s="22" t="s">
        <v>97</v>
      </c>
      <c r="L5" s="22" t="s">
        <v>25</v>
      </c>
      <c r="M5" s="22" t="s">
        <v>97</v>
      </c>
      <c r="N5" s="22" t="s">
        <v>98</v>
      </c>
      <c r="O5" s="22"/>
      <c r="P5" s="22" t="s">
        <v>46</v>
      </c>
      <c r="Q5" s="22" t="s">
        <v>46</v>
      </c>
      <c r="R5" s="22" t="s">
        <v>46</v>
      </c>
      <c r="S5" s="22" t="s">
        <v>46</v>
      </c>
    </row>
    <row r="6" spans="1:24">
      <c r="A6" s="134">
        <v>50</v>
      </c>
      <c r="B6" s="135">
        <v>50</v>
      </c>
      <c r="C6" s="135">
        <v>6</v>
      </c>
      <c r="D6" s="135">
        <v>380</v>
      </c>
      <c r="E6" s="135">
        <v>1</v>
      </c>
      <c r="F6" s="135">
        <v>3.7</v>
      </c>
      <c r="G6" s="135">
        <v>3.8</v>
      </c>
      <c r="H6" s="135">
        <v>170</v>
      </c>
      <c r="I6" s="135">
        <v>3</v>
      </c>
      <c r="J6" s="135">
        <v>1</v>
      </c>
      <c r="K6" s="135">
        <v>0.8</v>
      </c>
      <c r="L6" s="135">
        <v>2.5</v>
      </c>
      <c r="M6" s="135">
        <v>0.7</v>
      </c>
      <c r="N6" s="135">
        <v>20</v>
      </c>
      <c r="O6" s="135">
        <v>0.92500000000000004</v>
      </c>
      <c r="P6" s="135">
        <v>0.3</v>
      </c>
      <c r="Q6" s="136">
        <v>4</v>
      </c>
      <c r="R6" s="137">
        <v>30</v>
      </c>
      <c r="S6" s="138">
        <v>300</v>
      </c>
    </row>
    <row r="7" spans="1:24">
      <c r="A7" s="38" t="str">
        <f>IF(OR(A6&lt;50,A6&gt;60),"ERRORE","OK")</f>
        <v>OK</v>
      </c>
      <c r="B7" s="90" t="str">
        <f>IF(OR(B6&lt;10,B6&gt;1600),"ERRORE","OK")</f>
        <v>OK</v>
      </c>
      <c r="C7" s="38" t="str">
        <f>IF(AND(C6&lt;&gt;6,C6&lt;&gt;10,C6&lt;&gt;15,C6&lt;&gt;20,C6&lt;&gt;30),"ERRORE","OK")</f>
        <v>OK</v>
      </c>
      <c r="D7" s="38" t="str">
        <f>IF(OR(D6&lt;=0,D6&gt;C6*1000),"ERRORE","OK")</f>
        <v>OK</v>
      </c>
      <c r="E7" s="38" t="str">
        <f>IF(OR(E6&lt;1,E6&gt;1.4),"ERRORE","OK")</f>
        <v>OK</v>
      </c>
      <c r="F7" s="38" t="str">
        <f>IF(OR(F6&lt;1.8,F6&gt;3.7),"ERRORE","OK")</f>
        <v>OK</v>
      </c>
      <c r="G7" s="38" t="str">
        <f>IF(OR(G6&lt;1.3,G6&gt;4.5),"ERRORE","OK")</f>
        <v>OK</v>
      </c>
      <c r="H7" s="38" t="str">
        <f>IF(OR(H6&lt;VLOOKUP(B6,'Tabelle riferimento'!B442:D461,2),H6&gt;VLOOKUP(B6,'Tabelle riferimento'!B442:D461,3)),"ERRORE","OK")</f>
        <v>OK</v>
      </c>
      <c r="I7" s="38" t="str">
        <f>IF(AND(I6&lt;&gt;2,I6&lt;&gt;3,I6&lt;&gt;4),"ERRORE","OK")</f>
        <v>OK</v>
      </c>
      <c r="J7" s="38" t="str">
        <f>IF(OR(J6&lt;=0,J6&gt;1),"ERRORE","OK")</f>
        <v>OK</v>
      </c>
      <c r="K7" s="38" t="str">
        <f>IF(AND(K6&lt;&gt;0.8,K6&lt;&gt;1.2,K6&lt;&gt;1.7,K6&lt;&gt;3.2),"ERRORE","OK")</f>
        <v>OK</v>
      </c>
      <c r="L7" s="38" t="str">
        <f>IF(OR(L6&lt;0.8,L6&gt;3.2),"ERRORE","OK")</f>
        <v>OK</v>
      </c>
      <c r="M7" s="38" t="str">
        <f>IF(OR(M6&lt;0.7,M6&gt;1.3),"ERRORE","OK")</f>
        <v>OK</v>
      </c>
      <c r="N7" s="38" t="str">
        <f>IF(OR(N6&lt;8,N6&gt;20),"ERRORE","OK")</f>
        <v>OK</v>
      </c>
      <c r="O7" s="38" t="str">
        <f>IF(OR(O6&lt;0.92,O6&gt;0.94),"ERRORE","OK")</f>
        <v>OK</v>
      </c>
      <c r="P7" s="38" t="str">
        <f>IF(OR(P6&lt;0.1,P6&gt;0.3),"ERRORE","OK")</f>
        <v>OK</v>
      </c>
      <c r="Q7" s="38" t="str">
        <f>IF(OR(Q6&lt;4,Q6&gt;10),"ERRORE","OK")</f>
        <v>OK</v>
      </c>
      <c r="R7" s="38" t="str">
        <f>IF(R6&lt;30,"ERRORE","OK")</f>
        <v>OK</v>
      </c>
      <c r="S7" s="38" t="str">
        <f>IF(OR(S6&lt;300,S6&gt;400),"ERRORE","OK")</f>
        <v>OK</v>
      </c>
      <c r="X7" s="5"/>
    </row>
    <row r="8" spans="1:24">
      <c r="A8" s="94" t="str">
        <f>IF(A7&lt;&gt;"OK","Valori ammessi 50 o 60 Hz","")</f>
        <v/>
      </c>
      <c r="B8" s="95"/>
      <c r="C8" s="95"/>
      <c r="D8" s="95"/>
      <c r="E8" s="95"/>
      <c r="F8" s="96" t="str">
        <f>IF(F7&lt;&gt;"OK","Scegliere fra: 1.8÷3.7","")</f>
        <v/>
      </c>
      <c r="G8" s="95"/>
      <c r="H8" s="95"/>
      <c r="I8" s="95"/>
      <c r="J8" s="95"/>
      <c r="K8" s="96" t="str">
        <f>IF(K7&lt;&gt;"OK","Scegliere fra: 0.8; 1.2; 1.7 o 3.2","")</f>
        <v/>
      </c>
      <c r="L8" s="95"/>
      <c r="M8" s="95"/>
      <c r="N8" s="95"/>
      <c r="O8" s="96" t="str">
        <f>IF(O7&lt;&gt;"OK","Scegliere fra: 0.92÷0.94","")</f>
        <v/>
      </c>
      <c r="P8" s="95"/>
      <c r="Q8" s="95"/>
      <c r="R8" s="95"/>
      <c r="S8" s="128" t="str">
        <f>IF(S7&lt;&gt;"OK","Scegliere fra: 300÷400","")</f>
        <v/>
      </c>
    </row>
    <row r="9" spans="1:24">
      <c r="A9" s="97"/>
      <c r="B9" s="98" t="str">
        <f>IF(B7&lt;&gt;"OK","Valori ammessi 10÷1600 kVA","")</f>
        <v/>
      </c>
      <c r="C9" s="99"/>
      <c r="D9" s="99"/>
      <c r="E9" s="98" t="str">
        <f>IF(E7&lt;&gt;"OK","Scegliere fra 1÷1.4","")</f>
        <v/>
      </c>
      <c r="F9" s="99"/>
      <c r="G9" s="98" t="str">
        <f>IF(G7&lt;&gt;"OK","Scegliere fra: 1.3÷4.5","")</f>
        <v/>
      </c>
      <c r="H9" s="99"/>
      <c r="I9" s="99"/>
      <c r="J9" s="98" t="str">
        <f>IF(J7&lt;&gt;"OK","Scegliere fra: 0÷1","")</f>
        <v/>
      </c>
      <c r="K9" s="99"/>
      <c r="L9" s="98" t="str">
        <f>IF(L7&lt;&gt;"OK","Scegliere fra: 0.8÷3.2","")</f>
        <v/>
      </c>
      <c r="M9" s="98"/>
      <c r="N9" s="99"/>
      <c r="O9" s="99"/>
      <c r="P9" s="98" t="str">
        <f>IF(P7&lt;&gt;"OK","Scegliere fra: 0.18÷0.3","")</f>
        <v/>
      </c>
      <c r="Q9" s="99"/>
      <c r="R9" s="99" t="str">
        <f>IF(R7&lt;&gt;"OK","Minimo 30mm","")</f>
        <v/>
      </c>
      <c r="S9" s="100"/>
    </row>
    <row r="10" spans="1:24" s="45" customFormat="1">
      <c r="A10" s="97"/>
      <c r="B10" s="99"/>
      <c r="C10" s="98" t="str">
        <f>IF(C7&lt;&gt;"OK","Scegliere fra: 6; 10; 15; 20 o 30","")</f>
        <v/>
      </c>
      <c r="D10" s="99"/>
      <c r="E10" s="99"/>
      <c r="F10" s="99"/>
      <c r="G10" s="99"/>
      <c r="H10" s="98" t="str">
        <f>IF(H7&lt;&gt;"OK","Altezza assiale inadeguata per la Potenza scelta (P)","")</f>
        <v/>
      </c>
      <c r="I10" s="99"/>
      <c r="J10" s="99"/>
      <c r="K10" s="99"/>
      <c r="L10" s="99"/>
      <c r="M10" s="98" t="str">
        <f>IF(M7&lt;&gt;"OK","Scegliere fra: 0.7÷1.3","")</f>
        <v/>
      </c>
      <c r="N10" s="99"/>
      <c r="O10" s="99"/>
      <c r="P10" s="99"/>
      <c r="Q10" s="98" t="str">
        <f>IF(Q7&lt;&gt;"OK","Scegliere fra: 4÷10","")</f>
        <v/>
      </c>
      <c r="R10" s="99"/>
      <c r="S10" s="100"/>
    </row>
    <row r="11" spans="1:24" s="45" customFormat="1">
      <c r="A11" s="101"/>
      <c r="B11" s="102"/>
      <c r="C11" s="102"/>
      <c r="D11" s="103" t="str">
        <f>IF(D7&lt;&gt;"OK","Scegliere un valore minore di U₁","")</f>
        <v/>
      </c>
      <c r="E11" s="102"/>
      <c r="F11" s="102"/>
      <c r="G11" s="102"/>
      <c r="H11" s="102"/>
      <c r="I11" s="103" t="str">
        <f>IF(I7&lt;&gt;"OK","Scegliere fra: 2;3 o 4","")</f>
        <v/>
      </c>
      <c r="J11" s="102"/>
      <c r="K11" s="102"/>
      <c r="L11" s="102"/>
      <c r="M11" s="103"/>
      <c r="N11" s="103" t="str">
        <f>IF(N7&lt;&gt;"OK","Scegliere fra: 8÷20","")</f>
        <v/>
      </c>
      <c r="O11" s="102"/>
      <c r="P11" s="102"/>
      <c r="Q11" s="102"/>
      <c r="R11" s="102"/>
      <c r="S11" s="104"/>
    </row>
    <row r="12" spans="1:24" s="45" customFormat="1">
      <c r="M12" s="6"/>
    </row>
    <row r="13" spans="1:24">
      <c r="I13" s="89"/>
      <c r="J13" s="88"/>
      <c r="S13" s="5"/>
    </row>
    <row r="14" spans="1:24">
      <c r="A14" s="23" t="s">
        <v>99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24">
      <c r="C15" t="s">
        <v>100</v>
      </c>
      <c r="E15" s="17" t="s">
        <v>100</v>
      </c>
      <c r="G15" t="s">
        <v>100</v>
      </c>
      <c r="H15" t="s">
        <v>100</v>
      </c>
      <c r="I15" t="s">
        <v>100</v>
      </c>
      <c r="J15" t="s">
        <v>100</v>
      </c>
      <c r="L15" t="s">
        <v>100</v>
      </c>
      <c r="N15" s="45" t="s">
        <v>100</v>
      </c>
      <c r="P15" t="s">
        <v>100</v>
      </c>
    </row>
    <row r="16" spans="1:24">
      <c r="A16" s="114" t="s">
        <v>7</v>
      </c>
      <c r="B16" s="129"/>
      <c r="C16" s="26" t="s">
        <v>101</v>
      </c>
      <c r="E16" s="26" t="s">
        <v>598</v>
      </c>
      <c r="G16" s="26" t="s">
        <v>103</v>
      </c>
      <c r="H16" s="27" t="s">
        <v>104</v>
      </c>
      <c r="I16" s="26" t="s">
        <v>105</v>
      </c>
      <c r="J16" s="27" t="s">
        <v>106</v>
      </c>
      <c r="L16" s="26" t="s">
        <v>107</v>
      </c>
      <c r="N16" s="130" t="s">
        <v>310</v>
      </c>
      <c r="P16" s="26" t="s">
        <v>108</v>
      </c>
    </row>
    <row r="17" spans="1:23">
      <c r="C17" s="22" t="s">
        <v>94</v>
      </c>
      <c r="E17" s="22" t="s">
        <v>109</v>
      </c>
      <c r="G17" s="22" t="s">
        <v>110</v>
      </c>
      <c r="H17" s="22" t="s">
        <v>110</v>
      </c>
      <c r="I17" s="22" t="s">
        <v>110</v>
      </c>
      <c r="J17" s="22" t="s">
        <v>110</v>
      </c>
      <c r="L17" s="22" t="s">
        <v>93</v>
      </c>
      <c r="N17" s="22" t="s">
        <v>93</v>
      </c>
      <c r="P17" s="22" t="s">
        <v>111</v>
      </c>
    </row>
    <row r="18" spans="1:23">
      <c r="C18">
        <f>D6+D6*0.04</f>
        <v>395.2</v>
      </c>
      <c r="E18">
        <f>HLOOKUP(B6,'Tabelle riferimento'!C496:V497,2)</f>
        <v>3.7</v>
      </c>
      <c r="G18">
        <f>B6/(3*C6)</f>
        <v>2.7777777777777777</v>
      </c>
      <c r="H18">
        <f>G18/(SQRT(3))</f>
        <v>1.6037507477489605</v>
      </c>
      <c r="I18" s="5">
        <f>B6*10^3/(SQRT(3)*D6)</f>
        <v>75.967140682845496</v>
      </c>
      <c r="J18">
        <f>I18</f>
        <v>75.967140682845496</v>
      </c>
      <c r="L18">
        <f>HLOOKUP(C6,'Tabelle riferimento'!C369:H372,3)</f>
        <v>22</v>
      </c>
      <c r="N18">
        <f>C6+C6*0.05</f>
        <v>6.3</v>
      </c>
      <c r="P18">
        <f>(E6*10^-2)*SQRT((B6)/A6)</f>
        <v>0.01</v>
      </c>
    </row>
    <row r="19" spans="1:23">
      <c r="A19" s="115" t="s">
        <v>576</v>
      </c>
      <c r="B19" s="118"/>
      <c r="C19" s="91"/>
      <c r="D19" s="92"/>
      <c r="E19" s="92" t="str">
        <f>IF(HLOOKUP(B6,'Tabelle riferimento'!C496:V497,1)=B6,"","Mancata corrispondenza di P nella ricerca in tab.LXIII pag.2186")</f>
        <v/>
      </c>
      <c r="F19" s="92"/>
      <c r="G19" s="92"/>
      <c r="H19" s="92"/>
      <c r="I19" s="92"/>
      <c r="J19" s="92"/>
      <c r="K19" s="92"/>
      <c r="L19" s="92" t="str">
        <f>IF(HLOOKUP(C6,'Tabelle riferimento'!C369:H372,1)=C6,"","Mancata corrispondenza di U₁ nella ricerca in tab.LVIII pag.2179")</f>
        <v/>
      </c>
      <c r="M19" s="92"/>
      <c r="N19" s="92"/>
      <c r="O19" s="92"/>
      <c r="P19" s="93"/>
    </row>
    <row r="20" spans="1:23">
      <c r="E20" s="45"/>
    </row>
    <row r="21" spans="1:23">
      <c r="A21" s="37"/>
      <c r="B21" s="45"/>
    </row>
    <row r="22" spans="1:23">
      <c r="F22" s="45"/>
    </row>
    <row r="23" spans="1:23">
      <c r="A23" s="23" t="s">
        <v>112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23">
      <c r="C24" t="s">
        <v>113</v>
      </c>
      <c r="G24" s="28" t="s">
        <v>114</v>
      </c>
      <c r="J24" s="28" t="s">
        <v>115</v>
      </c>
      <c r="K24" s="28"/>
      <c r="M24" s="28" t="s">
        <v>116</v>
      </c>
    </row>
    <row r="25" spans="1:23">
      <c r="C25" t="s">
        <v>100</v>
      </c>
      <c r="D25" t="s">
        <v>100</v>
      </c>
      <c r="E25" t="s">
        <v>100</v>
      </c>
      <c r="G25" t="s">
        <v>100</v>
      </c>
      <c r="J25" t="s">
        <v>100</v>
      </c>
      <c r="M25" t="s">
        <v>100</v>
      </c>
      <c r="N25" s="28"/>
      <c r="O25" s="28"/>
      <c r="U25" s="28"/>
      <c r="V25" s="29"/>
      <c r="W25" s="28"/>
    </row>
    <row r="26" spans="1:23">
      <c r="A26" s="114" t="s">
        <v>7</v>
      </c>
      <c r="B26" s="25"/>
      <c r="C26" s="26" t="s">
        <v>117</v>
      </c>
      <c r="D26" s="26" t="s">
        <v>118</v>
      </c>
      <c r="E26" s="26" t="s">
        <v>119</v>
      </c>
      <c r="G26" s="26" t="s">
        <v>120</v>
      </c>
      <c r="H26" s="30" t="str">
        <f>IF($I$6=2,E28,"")</f>
        <v/>
      </c>
      <c r="I26" s="31" t="s">
        <v>121</v>
      </c>
      <c r="J26" s="26" t="s">
        <v>122</v>
      </c>
      <c r="K26" s="32">
        <f>IF($I$6=3,E28,"")</f>
        <v>7.905443414072201E-2</v>
      </c>
      <c r="L26" s="31" t="s">
        <v>121</v>
      </c>
      <c r="M26" s="26" t="s">
        <v>123</v>
      </c>
      <c r="N26" s="30" t="str">
        <f>IF($I$6=4,E28,"")</f>
        <v/>
      </c>
      <c r="O26" s="31" t="s">
        <v>121</v>
      </c>
      <c r="P26" s="6"/>
    </row>
    <row r="27" spans="1:23">
      <c r="C27" s="22" t="s">
        <v>124</v>
      </c>
      <c r="D27" s="22" t="s">
        <v>124</v>
      </c>
      <c r="E27" s="22" t="s">
        <v>121</v>
      </c>
      <c r="G27" s="33" t="str">
        <f>IF($I$6=2,"L1","")</f>
        <v/>
      </c>
      <c r="H27" s="34" t="str">
        <f>IF($I$6=2,E28*0.423,"")</f>
        <v/>
      </c>
      <c r="I27" s="31" t="s">
        <v>121</v>
      </c>
      <c r="J27" s="33" t="str">
        <f>IF($I$6=3,"L1","")</f>
        <v>L1</v>
      </c>
      <c r="K27" s="34">
        <f>IF($I$6=3,E28*0.423,"")</f>
        <v>3.3440025641525407E-2</v>
      </c>
      <c r="L27" s="31" t="s">
        <v>121</v>
      </c>
      <c r="M27" s="33" t="str">
        <f>IF($I$6=4,"L1","")</f>
        <v/>
      </c>
      <c r="N27" s="34" t="str">
        <f>IF($I$6=4,E28*0.423,"")</f>
        <v/>
      </c>
      <c r="O27" s="31" t="s">
        <v>121</v>
      </c>
    </row>
    <row r="28" spans="1:23">
      <c r="C28" s="32">
        <f>P18/(L6*O6)</f>
        <v>4.3243243243243244E-3</v>
      </c>
      <c r="D28" s="32">
        <f>IF(I6=2,C28/0.85,IF(I6=3,C28/0.881,IF(I6=4,C28/0.9)))</f>
        <v>4.9084271558732396E-3</v>
      </c>
      <c r="E28" s="32">
        <f>2*SQRT(D28/PI())</f>
        <v>7.905443414072201E-2</v>
      </c>
      <c r="G28" s="33" t="str">
        <f>IF($I$6=2,"L2","")</f>
        <v/>
      </c>
      <c r="H28" s="34" t="str">
        <f>IF($I$6=2,E28*0.707,"")</f>
        <v/>
      </c>
      <c r="I28" s="31" t="s">
        <v>121</v>
      </c>
      <c r="J28" s="33" t="str">
        <f>IF($I$6=3,"L2","")</f>
        <v>L2</v>
      </c>
      <c r="K28" s="34">
        <f>IF($I$6=3,E28*0.615,"")</f>
        <v>4.8618476996544036E-2</v>
      </c>
      <c r="L28" s="31" t="s">
        <v>121</v>
      </c>
      <c r="M28" s="33" t="str">
        <f>IF($I$6=4,"L2","")</f>
        <v/>
      </c>
      <c r="N28" s="34" t="str">
        <f>IF($I$6=4,E28*0.574,"")</f>
        <v/>
      </c>
      <c r="O28" s="31" t="s">
        <v>121</v>
      </c>
    </row>
    <row r="29" spans="1:23">
      <c r="G29" s="33" t="str">
        <f>IF($I$6=2,"L3","")</f>
        <v/>
      </c>
      <c r="H29" s="34" t="str">
        <f>IF($I$6=2,E28*0.907,"")</f>
        <v/>
      </c>
      <c r="I29" s="31" t="s">
        <v>121</v>
      </c>
      <c r="J29" s="33" t="str">
        <f>IF($I$6=3,"L3","")</f>
        <v>L3</v>
      </c>
      <c r="K29" s="34">
        <f>IF($I$6=3,E28*0.788,"")</f>
        <v>6.2294894102888944E-2</v>
      </c>
      <c r="L29" s="31" t="s">
        <v>121</v>
      </c>
      <c r="M29" s="33" t="str">
        <f>IF($I$6=4,"L3","")</f>
        <v/>
      </c>
      <c r="N29" s="34" t="str">
        <f>IF($I$6=4,E28*0.707,"")</f>
        <v/>
      </c>
      <c r="O29" s="31" t="s">
        <v>121</v>
      </c>
    </row>
    <row r="30" spans="1:23">
      <c r="J30" s="33" t="str">
        <f>IF($I$6=3,"L4","")</f>
        <v>L4</v>
      </c>
      <c r="K30" s="34">
        <f>IF($I$6=3,E28*0.97,"")</f>
        <v>7.6682801116500346E-2</v>
      </c>
      <c r="L30" s="31" t="s">
        <v>121</v>
      </c>
      <c r="M30" s="33" t="str">
        <f>IF($I$6=4,"L4","")</f>
        <v/>
      </c>
      <c r="N30" s="34" t="str">
        <f>IF($I$6=4,E28*0.819,"")</f>
        <v/>
      </c>
      <c r="O30" s="31" t="s">
        <v>121</v>
      </c>
    </row>
    <row r="31" spans="1:23">
      <c r="M31" s="33" t="str">
        <f>IF($I$6=4,"L5","")</f>
        <v/>
      </c>
      <c r="N31" s="34" t="str">
        <f>IF($I$6=4,E28*0.907,"")</f>
        <v/>
      </c>
      <c r="O31" s="31" t="s">
        <v>121</v>
      </c>
    </row>
    <row r="32" spans="1:23">
      <c r="N32" s="35"/>
      <c r="O32" s="34"/>
      <c r="P32" s="31"/>
    </row>
    <row r="33" spans="1:19">
      <c r="H33" s="30"/>
    </row>
    <row r="35" spans="1:19">
      <c r="A35" s="23" t="s">
        <v>125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>
      <c r="C36" t="s">
        <v>100</v>
      </c>
      <c r="D36" s="45" t="s">
        <v>100</v>
      </c>
      <c r="E36" t="s">
        <v>100</v>
      </c>
      <c r="F36" t="s">
        <v>100</v>
      </c>
      <c r="G36" t="s">
        <v>126</v>
      </c>
      <c r="H36" t="s">
        <v>126</v>
      </c>
    </row>
    <row r="37" spans="1:19">
      <c r="A37" s="114" t="s">
        <v>7</v>
      </c>
      <c r="B37" s="25"/>
      <c r="C37" s="27" t="s">
        <v>128</v>
      </c>
      <c r="D37" s="26" t="s">
        <v>593</v>
      </c>
      <c r="E37" s="26" t="s">
        <v>129</v>
      </c>
      <c r="F37" s="26" t="s">
        <v>130</v>
      </c>
      <c r="G37" s="26" t="s">
        <v>131</v>
      </c>
      <c r="H37" s="26" t="s">
        <v>132</v>
      </c>
    </row>
    <row r="38" spans="1:19">
      <c r="C38" s="22" t="s">
        <v>141</v>
      </c>
      <c r="D38" s="22" t="s">
        <v>142</v>
      </c>
      <c r="E38" s="22" t="s">
        <v>142</v>
      </c>
      <c r="F38" s="22" t="s">
        <v>142</v>
      </c>
      <c r="G38" s="22" t="s">
        <v>143</v>
      </c>
      <c r="H38" s="22" t="s">
        <v>143</v>
      </c>
    </row>
    <row r="39" spans="1:19">
      <c r="C39">
        <f>P18*A6*4.44</f>
        <v>2.2200000000000002</v>
      </c>
      <c r="D39">
        <f>INT((N18*E39)/100)</f>
        <v>180</v>
      </c>
      <c r="E39" s="32">
        <f>INT(C6*1000/C39+N18*((C6*1000/C39)/100))</f>
        <v>2872</v>
      </c>
      <c r="F39" s="32">
        <f>INT(C18/(SQRT(3)*C39))</f>
        <v>102</v>
      </c>
      <c r="G39" s="32">
        <f>H18/F6</f>
        <v>0.4334461480402596</v>
      </c>
      <c r="H39" s="32">
        <f>J18/G6</f>
        <v>19.991352811275132</v>
      </c>
      <c r="K39" s="45"/>
      <c r="L39" s="45"/>
    </row>
    <row r="40" spans="1:19">
      <c r="A40" s="112" t="s">
        <v>581</v>
      </c>
      <c r="B40" s="112"/>
      <c r="C40" s="90" t="str">
        <f>IF(OR(C39&lt;VLOOKUP(B6,'Tabelle riferimento'!B410:D429,2),C39&gt;VLOOKUP(B6,'Tabelle riferimento'!B410:D429,3)),"ERRORE","OK")</f>
        <v>OK</v>
      </c>
      <c r="K40" s="45"/>
      <c r="L40" s="45"/>
    </row>
    <row r="41" spans="1:19">
      <c r="A41" s="115" t="s">
        <v>576</v>
      </c>
      <c r="B41" s="116"/>
      <c r="C41" s="106" t="str">
        <f>IF(C40&lt;&gt;"OK","Valore fuori dai limiti consentiti","")</f>
        <v/>
      </c>
      <c r="D41" s="92"/>
      <c r="E41" s="92"/>
      <c r="F41" s="92"/>
      <c r="G41" s="92" t="str">
        <f>IF(G39&gt;MAXA('Tabelle riferimento'!B30:B104),"Valore oltre il limite dei dati tabellari in tab. XLIII pag. 2150","")</f>
        <v/>
      </c>
      <c r="H41" s="93" t="str">
        <f>IF(H39&gt;MAXA('Tabelle riferimento'!W111:W338),"Valore oltre il limite dei dati tabellari in tab. XLV pag. 2153","")</f>
        <v/>
      </c>
      <c r="K41" s="45"/>
      <c r="L41" s="45"/>
    </row>
    <row r="42" spans="1:19">
      <c r="B42" s="5"/>
      <c r="C42" s="40"/>
    </row>
    <row r="43" spans="1:19" s="45" customFormat="1">
      <c r="B43" s="6"/>
      <c r="C43" s="38"/>
      <c r="F43" t="s">
        <v>127</v>
      </c>
    </row>
    <row r="44" spans="1:19" s="45" customFormat="1">
      <c r="B44" s="6"/>
      <c r="C44" s="38"/>
      <c r="F44" t="s">
        <v>140</v>
      </c>
    </row>
    <row r="45" spans="1:19" s="45" customFormat="1">
      <c r="B45" s="6"/>
      <c r="C45" s="38"/>
      <c r="F45" s="45" t="s">
        <v>577</v>
      </c>
    </row>
    <row r="46" spans="1:19">
      <c r="A46" s="5"/>
      <c r="B46" s="5"/>
      <c r="C46" s="18"/>
      <c r="F46" s="45" t="s">
        <v>579</v>
      </c>
    </row>
    <row r="47" spans="1:19">
      <c r="A47" s="5"/>
      <c r="B47" s="5"/>
      <c r="C47" s="108"/>
    </row>
    <row r="48" spans="1:19" s="45" customFormat="1">
      <c r="A48" s="6"/>
      <c r="B48" s="6"/>
      <c r="C48" s="36" t="s">
        <v>126</v>
      </c>
      <c r="D48" t="s">
        <v>126</v>
      </c>
      <c r="E48"/>
      <c r="F48" t="s">
        <v>100</v>
      </c>
      <c r="G48" t="s">
        <v>100</v>
      </c>
      <c r="H48"/>
      <c r="I48" t="s">
        <v>100</v>
      </c>
      <c r="J48" t="s">
        <v>100</v>
      </c>
      <c r="K48" t="s">
        <v>100</v>
      </c>
    </row>
    <row r="49" spans="1:12" s="45" customFormat="1">
      <c r="A49" s="114" t="s">
        <v>7</v>
      </c>
      <c r="B49" s="25"/>
      <c r="C49" s="33" t="s">
        <v>133</v>
      </c>
      <c r="D49" s="33" t="s">
        <v>134</v>
      </c>
      <c r="E49"/>
      <c r="F49" s="33" t="s">
        <v>135</v>
      </c>
      <c r="G49" s="33" t="s">
        <v>136</v>
      </c>
      <c r="H49"/>
      <c r="I49" s="33" t="s">
        <v>137</v>
      </c>
      <c r="J49" s="33" t="s">
        <v>138</v>
      </c>
      <c r="K49" s="33" t="s">
        <v>139</v>
      </c>
    </row>
    <row r="50" spans="1:12" s="45" customFormat="1">
      <c r="A50" s="6"/>
      <c r="B50" s="6"/>
      <c r="C50" s="22" t="s">
        <v>142</v>
      </c>
      <c r="D50" s="22" t="s">
        <v>94</v>
      </c>
      <c r="E50"/>
      <c r="F50" s="22" t="s">
        <v>142</v>
      </c>
      <c r="G50" s="22" t="s">
        <v>94</v>
      </c>
      <c r="H50"/>
      <c r="I50" s="22" t="s">
        <v>144</v>
      </c>
      <c r="J50" s="22" t="s">
        <v>144</v>
      </c>
      <c r="K50" s="22" t="s">
        <v>142</v>
      </c>
    </row>
    <row r="51" spans="1:12">
      <c r="A51" s="89"/>
      <c r="B51" s="88"/>
      <c r="C51">
        <f>INT(G97*10/O74)</f>
        <v>607</v>
      </c>
      <c r="D51">
        <f>C51*2*C39</f>
        <v>2695.0800000000004</v>
      </c>
      <c r="F51">
        <f>IF(D51&lt;=850,C51,INT(850/(2*C39)))</f>
        <v>191</v>
      </c>
      <c r="G51">
        <f>F51*2*C39</f>
        <v>848.04000000000008</v>
      </c>
      <c r="I51">
        <f>INT(E39/F51)</f>
        <v>15</v>
      </c>
      <c r="J51">
        <f>IF(F51*I51&lt;E39,1,"")</f>
        <v>1</v>
      </c>
      <c r="K51">
        <f>E39-(F51*I51)</f>
        <v>7</v>
      </c>
    </row>
    <row r="52" spans="1:12">
      <c r="A52" s="112" t="s">
        <v>581</v>
      </c>
      <c r="B52" s="112"/>
      <c r="C52" s="37"/>
      <c r="D52" s="12" t="str">
        <f>IF(D51&gt;850,"!!!","OK")</f>
        <v>!!!</v>
      </c>
      <c r="G52" s="12" t="str">
        <f>IF(G51&gt;850,"!!!","OK")</f>
        <v>OK</v>
      </c>
    </row>
    <row r="53" spans="1:12">
      <c r="A53" s="115" t="s">
        <v>576</v>
      </c>
      <c r="B53" s="116"/>
      <c r="C53" s="109"/>
      <c r="D53" s="107" t="str">
        <f>IF(D52&lt;&gt;"OK","Valore oltre limite (850V)","")</f>
        <v>Valore oltre limite (850V)</v>
      </c>
      <c r="E53" s="92"/>
      <c r="F53" s="92"/>
      <c r="G53" s="107" t="str">
        <f>IF(G52&lt;&gt;"OK","Valore oltre limite (850V)","")</f>
        <v/>
      </c>
      <c r="H53" s="92"/>
      <c r="I53" s="92"/>
      <c r="J53" s="92"/>
      <c r="K53" s="93"/>
    </row>
    <row r="54" spans="1:12" s="45" customFormat="1">
      <c r="B54" s="5"/>
      <c r="D54"/>
      <c r="G54"/>
    </row>
    <row r="55" spans="1:12" s="45" customFormat="1">
      <c r="B55" s="6"/>
      <c r="C55" s="38"/>
      <c r="F55" t="s">
        <v>145</v>
      </c>
    </row>
    <row r="56" spans="1:12" s="45" customFormat="1">
      <c r="B56" s="6"/>
      <c r="C56" s="38"/>
      <c r="F56" t="s">
        <v>153</v>
      </c>
    </row>
    <row r="57" spans="1:12">
      <c r="A57" s="5"/>
      <c r="B57" s="5"/>
      <c r="C57" s="18"/>
      <c r="F57" s="45" t="s">
        <v>578</v>
      </c>
    </row>
    <row r="58" spans="1:12" s="45" customFormat="1">
      <c r="A58" s="6"/>
      <c r="B58" s="6"/>
      <c r="C58" s="38"/>
      <c r="F58" s="45" t="s">
        <v>580</v>
      </c>
    </row>
    <row r="59" spans="1:12" s="45" customFormat="1">
      <c r="A59" s="6"/>
      <c r="B59" s="6"/>
      <c r="C59" s="38"/>
    </row>
    <row r="60" spans="1:12" s="45" customFormat="1">
      <c r="A60" s="6"/>
      <c r="B60"/>
      <c r="C60" t="s">
        <v>126</v>
      </c>
      <c r="D60" t="s">
        <v>126</v>
      </c>
      <c r="E60"/>
      <c r="F60" t="s">
        <v>100</v>
      </c>
      <c r="G60" t="s">
        <v>100</v>
      </c>
      <c r="H60"/>
      <c r="I60" t="s">
        <v>100</v>
      </c>
      <c r="J60" t="s">
        <v>100</v>
      </c>
      <c r="K60" t="s">
        <v>100</v>
      </c>
    </row>
    <row r="61" spans="1:12" s="45" customFormat="1">
      <c r="A61" s="114" t="s">
        <v>7</v>
      </c>
      <c r="B61" s="25"/>
      <c r="C61" s="33" t="s">
        <v>146</v>
      </c>
      <c r="D61" s="33" t="s">
        <v>147</v>
      </c>
      <c r="E61"/>
      <c r="F61" s="33" t="s">
        <v>148</v>
      </c>
      <c r="G61" s="33" t="s">
        <v>149</v>
      </c>
      <c r="H61"/>
      <c r="I61" s="33" t="s">
        <v>150</v>
      </c>
      <c r="J61" s="33" t="s">
        <v>151</v>
      </c>
      <c r="K61" s="33" t="s">
        <v>152</v>
      </c>
    </row>
    <row r="62" spans="1:12" s="45" customFormat="1">
      <c r="A62" s="6"/>
      <c r="B62"/>
      <c r="C62" s="22" t="s">
        <v>142</v>
      </c>
      <c r="D62" s="22" t="s">
        <v>94</v>
      </c>
      <c r="E62"/>
      <c r="F62" s="22" t="s">
        <v>142</v>
      </c>
      <c r="G62" s="22" t="s">
        <v>94</v>
      </c>
      <c r="H62"/>
      <c r="I62" s="22" t="s">
        <v>144</v>
      </c>
      <c r="J62" s="22" t="s">
        <v>144</v>
      </c>
      <c r="K62" s="22" t="s">
        <v>142</v>
      </c>
    </row>
    <row r="63" spans="1:12" s="45" customFormat="1">
      <c r="A63" s="6"/>
      <c r="B63"/>
      <c r="C63">
        <f>INT(G97*10/G74)</f>
        <v>81</v>
      </c>
      <c r="D63">
        <f>C63*2*C39</f>
        <v>359.64000000000004</v>
      </c>
      <c r="E63"/>
      <c r="F63">
        <f>IF(D63&lt;=350,C63,INT(350/(2*C39)))</f>
        <v>78</v>
      </c>
      <c r="G63">
        <f>F63*2*C39</f>
        <v>346.32000000000005</v>
      </c>
      <c r="H63"/>
      <c r="I63">
        <f>INT(F39/F63)</f>
        <v>1</v>
      </c>
      <c r="J63">
        <f>IF(F63*I63&lt;F39,1,"")</f>
        <v>1</v>
      </c>
      <c r="K63">
        <f>F39-(F63*I63)</f>
        <v>24</v>
      </c>
    </row>
    <row r="64" spans="1:12" s="45" customFormat="1">
      <c r="A64" s="112" t="s">
        <v>581</v>
      </c>
      <c r="B64" s="112"/>
      <c r="C64" s="37"/>
      <c r="D64" s="12" t="str">
        <f>IF(D63&gt;350,"!!!","OK")</f>
        <v>!!!</v>
      </c>
      <c r="E64"/>
      <c r="F64"/>
      <c r="G64" s="12" t="str">
        <f>IF(G63&gt;350,"!!!","OK")</f>
        <v>OK</v>
      </c>
      <c r="H64"/>
      <c r="I64"/>
      <c r="J64"/>
      <c r="K64"/>
      <c r="L64"/>
    </row>
    <row r="65" spans="1:19" s="45" customFormat="1">
      <c r="A65" s="115" t="s">
        <v>576</v>
      </c>
      <c r="B65" s="117"/>
      <c r="C65" s="91"/>
      <c r="D65" s="107" t="str">
        <f>IF(D64&lt;&gt;"OK","Valore oltre limite (350V)","")</f>
        <v>Valore oltre limite (350V)</v>
      </c>
      <c r="E65" s="92"/>
      <c r="F65" s="92"/>
      <c r="G65" s="107" t="str">
        <f>IF(G64&lt;&gt;"OK","Valore oltre limite (350V)","")</f>
        <v/>
      </c>
      <c r="H65" s="92"/>
      <c r="I65" s="92"/>
      <c r="J65" s="92"/>
      <c r="K65" s="93"/>
    </row>
    <row r="66" spans="1:19" s="45" customFormat="1">
      <c r="A66" s="6"/>
      <c r="B66" s="6"/>
      <c r="C66" s="38"/>
    </row>
    <row r="67" spans="1:19" s="45" customFormat="1">
      <c r="A67" s="6"/>
      <c r="B67" s="6"/>
      <c r="C67" s="38"/>
      <c r="E67" s="8" t="s">
        <v>575</v>
      </c>
      <c r="F67"/>
      <c r="G67"/>
      <c r="H67"/>
      <c r="I67"/>
      <c r="J67"/>
      <c r="K67"/>
      <c r="L67"/>
      <c r="M67"/>
      <c r="N67"/>
    </row>
    <row r="68" spans="1:19" s="45" customFormat="1">
      <c r="A68" s="5"/>
      <c r="B68" s="5"/>
      <c r="C68"/>
      <c r="D68"/>
      <c r="E68" s="40" t="s">
        <v>584</v>
      </c>
      <c r="F68"/>
      <c r="G68"/>
      <c r="H68"/>
      <c r="I68"/>
      <c r="J68"/>
      <c r="K68"/>
      <c r="L68"/>
      <c r="M68"/>
      <c r="N68" s="40" t="s">
        <v>584</v>
      </c>
      <c r="O68"/>
      <c r="P68"/>
      <c r="Q68"/>
      <c r="R68"/>
      <c r="S68"/>
    </row>
    <row r="69" spans="1:19">
      <c r="A69" s="5"/>
      <c r="B69" s="5"/>
      <c r="E69" s="40" t="s">
        <v>590</v>
      </c>
      <c r="N69" s="40" t="s">
        <v>585</v>
      </c>
    </row>
    <row r="70" spans="1:19">
      <c r="A70" s="5"/>
      <c r="B70" s="5"/>
      <c r="C70" s="105"/>
    </row>
    <row r="71" spans="1:19">
      <c r="A71" s="5"/>
      <c r="B71" s="5"/>
      <c r="C71" t="s">
        <v>126</v>
      </c>
      <c r="E71" t="s">
        <v>100</v>
      </c>
      <c r="F71" t="s">
        <v>100</v>
      </c>
      <c r="G71" t="s">
        <v>100</v>
      </c>
      <c r="L71" t="s">
        <v>126</v>
      </c>
      <c r="N71" t="s">
        <v>100</v>
      </c>
      <c r="O71" t="s">
        <v>100</v>
      </c>
      <c r="P71" t="s">
        <v>100</v>
      </c>
      <c r="Q71" t="s">
        <v>100</v>
      </c>
      <c r="R71" t="s">
        <v>100</v>
      </c>
    </row>
    <row r="72" spans="1:19">
      <c r="A72" s="114" t="s">
        <v>7</v>
      </c>
      <c r="B72" s="25"/>
      <c r="C72" s="26" t="s">
        <v>132</v>
      </c>
      <c r="E72" s="26" t="s">
        <v>154</v>
      </c>
      <c r="F72" s="26" t="s">
        <v>155</v>
      </c>
      <c r="G72" s="26" t="s">
        <v>156</v>
      </c>
      <c r="I72" s="40"/>
      <c r="L72" s="26" t="s">
        <v>131</v>
      </c>
      <c r="N72" s="26" t="s">
        <v>157</v>
      </c>
      <c r="O72" s="26" t="s">
        <v>158</v>
      </c>
      <c r="P72" s="26" t="s">
        <v>159</v>
      </c>
      <c r="Q72" s="26" t="s">
        <v>160</v>
      </c>
      <c r="R72" s="26" t="s">
        <v>161</v>
      </c>
    </row>
    <row r="73" spans="1:19">
      <c r="A73" s="5"/>
      <c r="B73" s="5"/>
      <c r="C73" s="22" t="s">
        <v>143</v>
      </c>
      <c r="E73" s="22" t="s">
        <v>143</v>
      </c>
      <c r="F73" s="22" t="s">
        <v>46</v>
      </c>
      <c r="G73" s="22" t="s">
        <v>46</v>
      </c>
      <c r="H73" s="41"/>
      <c r="L73" s="22" t="s">
        <v>143</v>
      </c>
      <c r="N73" s="22" t="s">
        <v>143</v>
      </c>
      <c r="O73" s="22" t="s">
        <v>46</v>
      </c>
      <c r="P73" s="22" t="s">
        <v>46</v>
      </c>
      <c r="Q73" s="22" t="s">
        <v>46</v>
      </c>
      <c r="R73" s="22" t="s">
        <v>46</v>
      </c>
    </row>
    <row r="74" spans="1:19">
      <c r="A74" s="5"/>
      <c r="B74" s="5"/>
      <c r="C74">
        <f>H39</f>
        <v>19.991352811275132</v>
      </c>
      <c r="E74">
        <f>IF(H39=VLOOKUP(H39,'Tabelle riferimento'!W111:Y338,1),H39,INDEX('Tabelle riferimento'!W111:Y338,MATCH(H39,'Tabelle riferimento'!W111:W338,1)+1,1))</f>
        <v>21.54</v>
      </c>
      <c r="F74">
        <f>INDEX('Tabelle riferimento'!W111:Y338,MATCH(E74,'Tabelle riferimento'!W111:W338,1),2)</f>
        <v>4</v>
      </c>
      <c r="G74">
        <f>INDEX('Tabelle riferimento'!W111:Y338,MATCH(E74,'Tabelle riferimento'!W111:W338,1),3)</f>
        <v>5.6</v>
      </c>
      <c r="L74">
        <f>G39</f>
        <v>0.4334461480402596</v>
      </c>
      <c r="N74" s="5">
        <f>IF(G39=VLOOKUP(G39,'Tabelle riferimento'!B30:H104,1),G39,INDEX('Tabelle riferimento'!B30:H104,MATCH(G39,'Tabelle riferimento'!B30:B104,1)+1,1))</f>
        <v>0.44156000000000001</v>
      </c>
      <c r="O74" s="5">
        <f>INDEX('Tabelle riferimento'!B30:H104,MATCH(N74,'Tabelle riferimento'!B30:B104,1),2)</f>
        <v>0.75</v>
      </c>
      <c r="P74" s="5">
        <f>INDEX('Tabelle riferimento'!B30:H104,MATCH(N74,'Tabelle riferimento'!B30:B104,1),5)</f>
        <v>0.80900000000000005</v>
      </c>
      <c r="Q74" s="5">
        <f>INDEX('Tabelle riferimento'!B30:H104,MATCH(N74,'Tabelle riferimento'!B30:B104,1),6)</f>
        <v>0.83199999999999996</v>
      </c>
      <c r="R74" s="5">
        <f>INDEX('Tabelle riferimento'!B30:H104,MATCH(N74,'Tabelle riferimento'!B30:B104,1),7)</f>
        <v>0.85799999999999998</v>
      </c>
    </row>
    <row r="78" spans="1:19">
      <c r="A78" s="23" t="s">
        <v>162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</row>
    <row r="80" spans="1:19">
      <c r="C80" t="s">
        <v>100</v>
      </c>
      <c r="D80" t="s">
        <v>100</v>
      </c>
      <c r="E80" t="s">
        <v>100</v>
      </c>
      <c r="F80" t="s">
        <v>100</v>
      </c>
      <c r="H80" t="s">
        <v>100</v>
      </c>
      <c r="I80" t="s">
        <v>100</v>
      </c>
      <c r="K80" t="s">
        <v>100</v>
      </c>
    </row>
    <row r="81" spans="1:18">
      <c r="A81" s="114" t="s">
        <v>7</v>
      </c>
      <c r="B81" s="25"/>
      <c r="C81" s="26" t="s">
        <v>163</v>
      </c>
      <c r="D81" s="26" t="s">
        <v>164</v>
      </c>
      <c r="E81" s="26" t="s">
        <v>90</v>
      </c>
      <c r="F81" s="26" t="s">
        <v>165</v>
      </c>
      <c r="H81" s="26" t="s">
        <v>166</v>
      </c>
      <c r="I81" s="26" t="s">
        <v>167</v>
      </c>
      <c r="K81" s="26" t="s">
        <v>168</v>
      </c>
    </row>
    <row r="82" spans="1:18">
      <c r="C82" s="22" t="s">
        <v>46</v>
      </c>
      <c r="D82" s="22" t="s">
        <v>46</v>
      </c>
      <c r="E82" s="22" t="s">
        <v>46</v>
      </c>
      <c r="F82" s="22" t="s">
        <v>46</v>
      </c>
      <c r="H82" s="22" t="s">
        <v>46</v>
      </c>
      <c r="I82" s="22" t="s">
        <v>46</v>
      </c>
      <c r="K82" s="22" t="s">
        <v>46</v>
      </c>
    </row>
    <row r="83" spans="1:18">
      <c r="C83">
        <f>VLOOKUP(C6,'Tabelle riferimento'!B486:D490,2)</f>
        <v>8</v>
      </c>
      <c r="D83">
        <f>P74*(I51+J51)</f>
        <v>12.944000000000001</v>
      </c>
      <c r="E83" s="42">
        <f>Q6</f>
        <v>4</v>
      </c>
      <c r="F83">
        <f>F74*(I63+J63+(P6/2))</f>
        <v>8.6</v>
      </c>
      <c r="H83">
        <f>C83*2.5</f>
        <v>20</v>
      </c>
      <c r="I83">
        <f>IF(I6=2,2*(H26*10^3/2+C83+D83+E83+F83),IF(I6=3,2*(K26*10^3/2+C83+D83+E83+F83),IF(I6=4,2*(N26*10^3/2+C83+D83+E83+F83),0)))</f>
        <v>146.142434140722</v>
      </c>
      <c r="K83" s="5">
        <f>E28*10^3+2*(C83+D83+E83+F83)+H83</f>
        <v>166.142434140722</v>
      </c>
    </row>
    <row r="84" spans="1:18">
      <c r="A84" s="115" t="s">
        <v>576</v>
      </c>
      <c r="B84" s="118"/>
      <c r="C84" s="91" t="str">
        <f>IF(VLOOKUP(C6,'Tabelle riferimento'!B486:D490,1)=C6,"","Mancata corrispondenza di U₁ nella ricerca in tab.LXII pag.2183")</f>
        <v/>
      </c>
      <c r="D84" s="92"/>
      <c r="E84" s="107"/>
      <c r="F84" s="110"/>
      <c r="G84" s="92"/>
      <c r="H84" s="92"/>
      <c r="I84" s="92"/>
      <c r="J84" s="92"/>
      <c r="K84" s="111"/>
      <c r="R84" s="37"/>
    </row>
    <row r="85" spans="1:18">
      <c r="D85" s="89"/>
    </row>
    <row r="86" spans="1:18">
      <c r="D86" s="7"/>
      <c r="E86" s="89"/>
      <c r="I86" s="30"/>
    </row>
    <row r="87" spans="1:18">
      <c r="B87" s="5"/>
      <c r="C87" t="s">
        <v>100</v>
      </c>
      <c r="D87" t="s">
        <v>100</v>
      </c>
      <c r="E87" t="s">
        <v>100</v>
      </c>
      <c r="G87" t="s">
        <v>100</v>
      </c>
    </row>
    <row r="88" spans="1:18">
      <c r="A88" s="114" t="s">
        <v>7</v>
      </c>
      <c r="B88" s="25"/>
      <c r="C88" s="26" t="s">
        <v>169</v>
      </c>
      <c r="D88" s="26" t="s">
        <v>170</v>
      </c>
      <c r="E88" s="26" t="s">
        <v>171</v>
      </c>
      <c r="G88" s="26" t="s">
        <v>172</v>
      </c>
      <c r="I88" s="26" t="s">
        <v>173</v>
      </c>
      <c r="J88" s="26" t="s">
        <v>174</v>
      </c>
      <c r="L88" s="26" t="s">
        <v>175</v>
      </c>
      <c r="M88" s="26" t="s">
        <v>176</v>
      </c>
      <c r="O88" s="26" t="s">
        <v>177</v>
      </c>
    </row>
    <row r="89" spans="1:18">
      <c r="C89" s="22" t="s">
        <v>124</v>
      </c>
      <c r="D89" s="22" t="s">
        <v>46</v>
      </c>
      <c r="E89" s="22" t="s">
        <v>46</v>
      </c>
      <c r="G89" s="22" t="s">
        <v>178</v>
      </c>
      <c r="I89" s="22" t="s">
        <v>124</v>
      </c>
      <c r="J89" s="22" t="s">
        <v>124</v>
      </c>
      <c r="L89" s="22" t="s">
        <v>124</v>
      </c>
      <c r="M89" s="22" t="s">
        <v>124</v>
      </c>
      <c r="O89" s="89" t="s">
        <v>179</v>
      </c>
    </row>
    <row r="90" spans="1:18">
      <c r="C90" s="30">
        <f>C28*1.2</f>
        <v>5.1891891891891889E-3</v>
      </c>
      <c r="D90">
        <f>IF(I6=2,10^3*C90/H29,IF(I6=3,10^3*C90/K30,IF(I6=4,10^3*C90/N31,0)))</f>
        <v>67.670835097762179</v>
      </c>
      <c r="E90">
        <f>IF(I6=2,2*(H29*10^3+H83+I83),IF(I6=3,2*(K30*10^3+H83+I83),IF(I6=4,2*(N31*10^3+H83+I83),0)))</f>
        <v>485.65047051444469</v>
      </c>
      <c r="G90" s="6">
        <f>P18/C28*O6</f>
        <v>2.1390625000000001</v>
      </c>
      <c r="I90">
        <f>IF(I6=2,3*((L97/100)-2*L18*10^-3)*H29*4,IF(I6=3,3*((L97/100)-2*L18*10^-3)*K30*4,IF(I6=4,3*((L97/100)-2*L18*10^-3)*N31*4,0)))</f>
        <v>4.4518967016195443</v>
      </c>
      <c r="J90">
        <f>IF(I6=2,2*(2*(D90*H29*10^-3)+2*(K83*10^-3*H29*10^-3)+2*(K83*10^-3*D90*10^-3)),IF(I6=3,2*(2*(D90*K30*10^-3)+2*(K83*10^-3*K30*10^-3)+2*(K83*10^-3*D90*10^-3)),IF(I6=4,2*(2*(D90*N31*10^-3)+2*(K83*10^-3*N31*10^-3)+2*(K83*10^-3*D90*10^-3)),0)))</f>
        <v>6.5779706879604105E-2</v>
      </c>
      <c r="L90" s="30">
        <f>IF(I6=2,(H26+2*E83*10^-3+2*A2*10^-3)*PI(),IF(I6=3,(K26+2*E83*10^-3+2*A2*10^-3)*PI(),IF(I6=4,(N26+2*E83*10^-3+2*A2*10^-3)*PI(),0)))</f>
        <v>0.27348957075890873</v>
      </c>
      <c r="M90">
        <f>IF(I6=2,(H26+2*(C83*10^-3+E83*10^-3+F83*10^-3))+2*D83*10^-3-2*(I51+J51)*10^-3,IF(I6=3,(K26+2*(C83*10^-3+E83*10^-3+F83*10^-3))+2*D83*10^-3-2*(I51+J51)*10^-3,IF(I6=4,(N26+2*(C83*10^-3+E83*10^-3+F83*10^-3))+2*D83*10^-3-2*(I51+J51)*10^-3,0)))</f>
        <v>0.114142434140722</v>
      </c>
    </row>
    <row r="91" spans="1:18">
      <c r="A91" s="6"/>
      <c r="B91" s="6"/>
      <c r="C91" s="6"/>
      <c r="D91" s="6"/>
      <c r="E91" s="6"/>
      <c r="F91" s="6"/>
      <c r="G91" s="6"/>
      <c r="H91" s="6"/>
      <c r="I91" s="6"/>
      <c r="J91" s="43"/>
      <c r="K91" s="6"/>
      <c r="L91" s="6"/>
      <c r="M91" s="6"/>
      <c r="N91" s="6"/>
      <c r="O91" s="6"/>
      <c r="P91" s="6"/>
    </row>
    <row r="92" spans="1:1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8">
      <c r="C93" s="5"/>
      <c r="D93" s="42" t="s">
        <v>180</v>
      </c>
      <c r="H93" s="42" t="s">
        <v>181</v>
      </c>
      <c r="K93" s="5"/>
      <c r="M93" s="6"/>
      <c r="N93" s="6"/>
      <c r="O93" s="6"/>
      <c r="P93" s="6"/>
    </row>
    <row r="94" spans="1:18">
      <c r="B94" s="5"/>
      <c r="C94" t="s">
        <v>126</v>
      </c>
      <c r="D94" t="s">
        <v>100</v>
      </c>
      <c r="E94" t="s">
        <v>100</v>
      </c>
      <c r="G94" t="s">
        <v>126</v>
      </c>
      <c r="H94" t="s">
        <v>100</v>
      </c>
      <c r="I94" t="s">
        <v>100</v>
      </c>
      <c r="K94" t="s">
        <v>100</v>
      </c>
      <c r="L94" t="s">
        <v>100</v>
      </c>
      <c r="M94" s="6"/>
      <c r="N94" s="6"/>
      <c r="O94" s="43"/>
      <c r="P94" s="37"/>
    </row>
    <row r="95" spans="1:18">
      <c r="A95" s="114" t="s">
        <v>7</v>
      </c>
      <c r="B95" s="25"/>
      <c r="C95" s="26" t="s">
        <v>182</v>
      </c>
      <c r="D95" s="26" t="s">
        <v>183</v>
      </c>
      <c r="E95" s="26" t="s">
        <v>184</v>
      </c>
      <c r="G95" s="26" t="s">
        <v>185</v>
      </c>
      <c r="H95" s="26" t="s">
        <v>186</v>
      </c>
      <c r="I95" s="26" t="s">
        <v>187</v>
      </c>
      <c r="K95" s="26" t="s">
        <v>188</v>
      </c>
      <c r="L95" s="26" t="s">
        <v>189</v>
      </c>
    </row>
    <row r="96" spans="1:18">
      <c r="C96" s="22" t="s">
        <v>190</v>
      </c>
      <c r="D96" s="22" t="s">
        <v>46</v>
      </c>
      <c r="E96" s="22" t="s">
        <v>190</v>
      </c>
      <c r="G96" s="22" t="s">
        <v>190</v>
      </c>
      <c r="H96" s="22" t="s">
        <v>46</v>
      </c>
      <c r="I96" s="22" t="s">
        <v>190</v>
      </c>
      <c r="K96" s="22" t="s">
        <v>46</v>
      </c>
      <c r="L96" s="22" t="s">
        <v>46</v>
      </c>
    </row>
    <row r="97" spans="1:19">
      <c r="C97" s="5">
        <f>E39*H18/H6</f>
        <v>27.093953809029497</v>
      </c>
      <c r="D97" s="5">
        <f>O74+R74</f>
        <v>1.6080000000000001</v>
      </c>
      <c r="E97" s="5">
        <f>D97*F51/10</f>
        <v>30.712800000000005</v>
      </c>
      <c r="F97" s="5"/>
      <c r="G97" s="45">
        <f>F39*J18/H6</f>
        <v>45.580284409707296</v>
      </c>
      <c r="H97" s="45">
        <f>G74+P6</f>
        <v>5.8999999999999995</v>
      </c>
      <c r="I97" s="5">
        <f>H97*F63/10</f>
        <v>46.019999999999996</v>
      </c>
      <c r="K97" s="37">
        <f>(L97-I97*10)/2</f>
        <v>14</v>
      </c>
      <c r="L97" s="45">
        <f>MAX(E97,I97)*10+L18+C6</f>
        <v>488.19999999999993</v>
      </c>
      <c r="M97" s="44"/>
    </row>
    <row r="98" spans="1:19">
      <c r="A98" s="112" t="s">
        <v>581</v>
      </c>
      <c r="B98" s="112"/>
      <c r="C98" s="38" t="str">
        <f>IF(C97&gt;G97,"ERRORE","OK")</f>
        <v>OK</v>
      </c>
      <c r="E98" s="37"/>
      <c r="H98" s="86"/>
      <c r="I98" s="40"/>
      <c r="L98" s="90" t="str">
        <f>IF(L97&lt;G97,"ERRORE","OK")</f>
        <v>OK</v>
      </c>
    </row>
    <row r="99" spans="1:19">
      <c r="A99" s="115" t="s">
        <v>576</v>
      </c>
      <c r="B99" s="118"/>
      <c r="C99" s="91" t="str">
        <f>IF(C98&lt;&gt;"OK","L'altezza della colonna -h₁-al primario non può essere maggiore di quella al secondario -h₂-","")</f>
        <v/>
      </c>
      <c r="D99" s="92"/>
      <c r="E99" s="92"/>
      <c r="F99" s="92"/>
      <c r="G99" s="92"/>
      <c r="H99" s="92"/>
      <c r="I99" s="92"/>
      <c r="J99" s="92"/>
      <c r="K99" s="92"/>
      <c r="L99" s="93" t="str">
        <f>IF(L98&lt;&gt;"OK","L'altezza assiale degli avvolgimenti h non può essere inferiore a quella dell'avvolgimento b.t. (h₂)","")</f>
        <v/>
      </c>
    </row>
    <row r="100" spans="1:19">
      <c r="C100" s="45"/>
    </row>
    <row r="102" spans="1:19">
      <c r="D102" s="37"/>
    </row>
    <row r="103" spans="1:19">
      <c r="A103" s="23" t="s">
        <v>191</v>
      </c>
      <c r="B103" s="24"/>
      <c r="C103" s="24"/>
      <c r="D103" s="46"/>
      <c r="E103" s="24"/>
      <c r="F103" s="46"/>
      <c r="G103" s="24"/>
      <c r="H103" s="24"/>
      <c r="I103" s="47"/>
      <c r="J103" s="24"/>
      <c r="K103" s="23" t="s">
        <v>198</v>
      </c>
      <c r="L103" s="24"/>
      <c r="M103" s="24"/>
      <c r="N103" s="24"/>
      <c r="O103" s="24"/>
      <c r="P103" s="24"/>
      <c r="Q103" s="24"/>
      <c r="R103" s="24"/>
      <c r="S103" s="24"/>
    </row>
    <row r="105" spans="1:19">
      <c r="C105" t="s">
        <v>100</v>
      </c>
      <c r="D105" t="s">
        <v>100</v>
      </c>
      <c r="F105" t="s">
        <v>100</v>
      </c>
      <c r="G105" t="s">
        <v>100</v>
      </c>
      <c r="I105" t="s">
        <v>100</v>
      </c>
      <c r="K105" t="s">
        <v>100</v>
      </c>
      <c r="L105" t="s">
        <v>100</v>
      </c>
      <c r="N105" t="s">
        <v>100</v>
      </c>
    </row>
    <row r="106" spans="1:19">
      <c r="A106" s="114" t="s">
        <v>7</v>
      </c>
      <c r="B106" s="25"/>
      <c r="C106" s="26" t="s">
        <v>192</v>
      </c>
      <c r="D106" s="26" t="s">
        <v>193</v>
      </c>
      <c r="F106" s="26" t="s">
        <v>194</v>
      </c>
      <c r="G106" s="26" t="s">
        <v>195</v>
      </c>
      <c r="I106" s="26" t="s">
        <v>196</v>
      </c>
      <c r="K106" s="26" t="s">
        <v>199</v>
      </c>
      <c r="L106" s="26" t="s">
        <v>200</v>
      </c>
      <c r="M106" s="5"/>
      <c r="N106" s="26" t="s">
        <v>201</v>
      </c>
    </row>
    <row r="107" spans="1:19">
      <c r="B107" s="5"/>
      <c r="C107" s="22" t="s">
        <v>46</v>
      </c>
      <c r="D107" s="22" t="s">
        <v>197</v>
      </c>
      <c r="F107" s="22" t="s">
        <v>46</v>
      </c>
      <c r="G107" s="22" t="s">
        <v>197</v>
      </c>
      <c r="I107" s="22" t="s">
        <v>197</v>
      </c>
      <c r="J107" s="5"/>
      <c r="K107" s="22" t="s">
        <v>197</v>
      </c>
      <c r="L107" s="22" t="s">
        <v>197</v>
      </c>
      <c r="N107" s="22" t="s">
        <v>197</v>
      </c>
    </row>
    <row r="108" spans="1:19">
      <c r="C108">
        <f>((E28*10^3/2)+E83+F83+C83+D83/2)*2*PI()</f>
        <v>418.45522216615615</v>
      </c>
      <c r="D108">
        <f>(3*8.96*C108*10^-3*E39*N74*10^-3)</f>
        <v>14.264364131079654</v>
      </c>
      <c r="F108">
        <f>((E28*10^3/2)+E83+(F83/2))*2*PI()</f>
        <v>300.50726757978094</v>
      </c>
      <c r="G108">
        <f>(3*8.96*F108*10^-3*F39*H39*10^-3)</f>
        <v>16.471251537781708</v>
      </c>
      <c r="I108" s="48">
        <f>D108+G108</f>
        <v>30.735615668861364</v>
      </c>
      <c r="K108" s="49">
        <f>3*C28*L97*7.874*O6</f>
        <v>46.129041599999994</v>
      </c>
      <c r="L108" s="49">
        <f>2*C90*E90*7.874*O6</f>
        <v>36.710513326375086</v>
      </c>
      <c r="M108" s="5"/>
      <c r="N108" s="48">
        <f>K108+L108</f>
        <v>82.839554926375087</v>
      </c>
    </row>
    <row r="109" spans="1:19">
      <c r="K109" s="37"/>
    </row>
    <row r="111" spans="1:19">
      <c r="J111" s="5"/>
    </row>
    <row r="112" spans="1:19">
      <c r="A112" s="23" t="s">
        <v>202</v>
      </c>
      <c r="B112" s="24"/>
      <c r="C112" s="24"/>
      <c r="D112" s="46"/>
      <c r="E112" s="24"/>
      <c r="F112" s="46"/>
      <c r="G112" s="24"/>
      <c r="H112" s="24"/>
      <c r="I112" s="47"/>
      <c r="J112" s="24"/>
      <c r="K112" s="24"/>
      <c r="L112" s="24"/>
      <c r="M112" s="24"/>
      <c r="N112" s="24"/>
      <c r="O112" s="24"/>
      <c r="P112" s="24"/>
      <c r="Q112" s="24"/>
      <c r="R112" s="24"/>
      <c r="S112" s="24"/>
    </row>
    <row r="113" spans="1:19">
      <c r="C113" t="s">
        <v>100</v>
      </c>
      <c r="D113" t="s">
        <v>100</v>
      </c>
      <c r="E113" s="45" t="s">
        <v>100</v>
      </c>
      <c r="F113" t="s">
        <v>100</v>
      </c>
      <c r="H113" t="s">
        <v>100</v>
      </c>
      <c r="I113" t="s">
        <v>100</v>
      </c>
      <c r="J113" s="45" t="s">
        <v>100</v>
      </c>
      <c r="K113" t="s">
        <v>100</v>
      </c>
      <c r="M113" t="s">
        <v>100</v>
      </c>
      <c r="O113" t="s">
        <v>100</v>
      </c>
      <c r="P113" t="s">
        <v>100</v>
      </c>
      <c r="Q113" t="s">
        <v>100</v>
      </c>
      <c r="S113" t="s">
        <v>100</v>
      </c>
    </row>
    <row r="114" spans="1:19">
      <c r="A114" s="114" t="s">
        <v>7</v>
      </c>
      <c r="B114" s="25"/>
      <c r="C114" s="26" t="s">
        <v>80</v>
      </c>
      <c r="D114" s="26" t="s">
        <v>203</v>
      </c>
      <c r="E114" s="26" t="s">
        <v>586</v>
      </c>
      <c r="F114" s="26" t="s">
        <v>204</v>
      </c>
      <c r="H114" s="26" t="s">
        <v>81</v>
      </c>
      <c r="I114" s="26" t="s">
        <v>205</v>
      </c>
      <c r="J114" s="26" t="s">
        <v>588</v>
      </c>
      <c r="K114" s="26" t="s">
        <v>206</v>
      </c>
      <c r="M114" s="26" t="s">
        <v>207</v>
      </c>
      <c r="O114" s="26" t="s">
        <v>208</v>
      </c>
      <c r="P114" s="50" t="s">
        <v>209</v>
      </c>
      <c r="Q114" s="26" t="s">
        <v>210</v>
      </c>
      <c r="S114" s="26" t="s">
        <v>211</v>
      </c>
    </row>
    <row r="115" spans="1:19">
      <c r="C115" s="22" t="s">
        <v>95</v>
      </c>
      <c r="D115" s="119"/>
      <c r="E115" s="22" t="s">
        <v>587</v>
      </c>
      <c r="F115" s="22" t="s">
        <v>212</v>
      </c>
      <c r="H115" s="22" t="s">
        <v>95</v>
      </c>
      <c r="I115" s="120"/>
      <c r="J115" s="22" t="s">
        <v>587</v>
      </c>
      <c r="K115" s="22" t="s">
        <v>212</v>
      </c>
      <c r="M115" s="22" t="s">
        <v>212</v>
      </c>
      <c r="O115" s="22" t="s">
        <v>212</v>
      </c>
      <c r="P115" s="22" t="s">
        <v>212</v>
      </c>
      <c r="Q115" s="22" t="s">
        <v>212</v>
      </c>
    </row>
    <row r="116" spans="1:19">
      <c r="C116">
        <f>H18/N74</f>
        <v>3.6320109333928809</v>
      </c>
      <c r="D116">
        <f>IF(N74&gt;=25,FORECAST(N74,'Tabelle riferimento'!B20:AA20,'Tabelle riferimento'!B21:AA21),0)</f>
        <v>0</v>
      </c>
      <c r="E116">
        <f>IF(N74&gt;=25,C116^2*D116,0)</f>
        <v>0</v>
      </c>
      <c r="F116" s="88">
        <f>IF(N74&gt;=25,D108*E116,D108*C116^2)</f>
        <v>188.16840822333401</v>
      </c>
      <c r="H116">
        <f>J18/E74</f>
        <v>3.5267939035675719</v>
      </c>
      <c r="I116">
        <f>IF(E74&gt;=25,FORECAST(E74,'Tabelle riferimento'!B20:AA20,'Tabelle riferimento'!B21:AA21),0)</f>
        <v>0</v>
      </c>
      <c r="J116">
        <f>IF(E74&gt;=25,H116^2*I116,0)</f>
        <v>0</v>
      </c>
      <c r="K116">
        <f>IF(E74&gt;=25,G108*J116,G108*H116^2)</f>
        <v>204.87396014523566</v>
      </c>
      <c r="M116">
        <f>F116+K116</f>
        <v>393.04236836856967</v>
      </c>
      <c r="O116">
        <f>M6*((L6/G90)^2)*K108</f>
        <v>44.106799014172189</v>
      </c>
      <c r="P116">
        <f>M6*((L6/G90)^2)*L108</f>
        <v>35.10116787237817</v>
      </c>
      <c r="Q116">
        <f>(O116+P116)*0.2+O116+P116</f>
        <v>95.049560263860428</v>
      </c>
      <c r="R116" s="5"/>
      <c r="S116">
        <f>M116/Q116</f>
        <v>4.1351308441351255</v>
      </c>
    </row>
    <row r="117" spans="1:19">
      <c r="A117" s="112" t="s">
        <v>581</v>
      </c>
      <c r="B117" s="112"/>
      <c r="C117" s="38" t="str">
        <f>IF(C116&lt;=F6, "OK","ERRORE")</f>
        <v>OK</v>
      </c>
      <c r="D117" s="89"/>
      <c r="F117" s="88"/>
      <c r="H117" s="123" t="str">
        <f>IF(H116&lt;=G6, "OK","ERRORE")</f>
        <v>OK</v>
      </c>
      <c r="I117" s="89"/>
      <c r="K117" s="88"/>
      <c r="M117" s="88"/>
      <c r="S117" s="38" t="str">
        <f>IF(OR(S116&lt;3.5,S116&gt;5.5),"ERRORE","OK")</f>
        <v>OK</v>
      </c>
    </row>
    <row r="118" spans="1:19">
      <c r="A118" s="115" t="s">
        <v>576</v>
      </c>
      <c r="B118" s="118"/>
      <c r="C118" s="91" t="str">
        <f>IF(C117&lt;&gt;"OK","Valore incompatibile con quello scelto durante l'inserimento dati - modifica ∆₁","")</f>
        <v/>
      </c>
      <c r="D118" s="92"/>
      <c r="E118" s="92"/>
      <c r="F118" s="92"/>
      <c r="G118" s="92"/>
      <c r="H118" s="92" t="str">
        <f>IF(H117&lt;&gt;"OK","Valore incompatibile con quello scelto durante l'inserimento dati - modifica ∆₂","")</f>
        <v/>
      </c>
      <c r="I118" s="92"/>
      <c r="J118" s="92"/>
      <c r="K118" s="92"/>
      <c r="L118" s="92"/>
      <c r="M118" s="92"/>
      <c r="N118" s="92"/>
      <c r="O118" s="124"/>
      <c r="P118" s="92"/>
      <c r="Q118" s="92"/>
      <c r="R118" s="92"/>
      <c r="S118" s="93" t="str">
        <f>IF(S117&lt;&gt;"OK","Valore non compreso fra 3.5 ÷ 5.5, agire sugli elementi di calcolo C, Bn, ∆₁, ∆₂","")</f>
        <v/>
      </c>
    </row>
    <row r="119" spans="1:19">
      <c r="B119" t="s">
        <v>213</v>
      </c>
      <c r="E119" s="88"/>
      <c r="F119" s="121"/>
      <c r="G119" s="88"/>
      <c r="H119" s="88"/>
      <c r="I119" s="122"/>
      <c r="J119" s="122"/>
      <c r="K119" s="88"/>
      <c r="L119" s="88"/>
      <c r="M119" s="88"/>
      <c r="S119" s="45"/>
    </row>
    <row r="120" spans="1:19">
      <c r="C120" t="s">
        <v>100</v>
      </c>
      <c r="D120" t="s">
        <v>100</v>
      </c>
      <c r="E120" t="s">
        <v>100</v>
      </c>
      <c r="F120" t="s">
        <v>100</v>
      </c>
      <c r="G120" t="s">
        <v>100</v>
      </c>
      <c r="H120" t="s">
        <v>100</v>
      </c>
      <c r="I120" t="s">
        <v>100</v>
      </c>
      <c r="J120" t="s">
        <v>100</v>
      </c>
      <c r="L120" t="s">
        <v>100</v>
      </c>
      <c r="M120" t="s">
        <v>100</v>
      </c>
    </row>
    <row r="121" spans="1:19">
      <c r="A121" s="114" t="s">
        <v>7</v>
      </c>
      <c r="B121" s="25"/>
      <c r="C121" s="26" t="s">
        <v>214</v>
      </c>
      <c r="D121" s="26" t="s">
        <v>215</v>
      </c>
      <c r="E121" s="26" t="s">
        <v>216</v>
      </c>
      <c r="F121" s="26" t="s">
        <v>217</v>
      </c>
      <c r="G121" s="26" t="s">
        <v>218</v>
      </c>
      <c r="H121" s="26" t="s">
        <v>219</v>
      </c>
      <c r="I121" s="26" t="s">
        <v>220</v>
      </c>
      <c r="J121" s="26" t="s">
        <v>102</v>
      </c>
      <c r="L121" s="26" t="s">
        <v>221</v>
      </c>
      <c r="M121" s="26" t="s">
        <v>377</v>
      </c>
    </row>
    <row r="122" spans="1:19">
      <c r="C122" s="22" t="s">
        <v>222</v>
      </c>
      <c r="D122" s="22" t="s">
        <v>222</v>
      </c>
      <c r="E122" s="22" t="s">
        <v>222</v>
      </c>
      <c r="F122" s="22" t="s">
        <v>110</v>
      </c>
      <c r="G122" s="22" t="s">
        <v>110</v>
      </c>
      <c r="H122" s="22" t="s">
        <v>110</v>
      </c>
      <c r="I122" s="22" t="s">
        <v>110</v>
      </c>
      <c r="J122" s="22" t="s">
        <v>109</v>
      </c>
      <c r="L122" s="22"/>
      <c r="M122" s="22" t="s">
        <v>109</v>
      </c>
    </row>
    <row r="123" spans="1:19">
      <c r="C123">
        <f>2*0.8*L6*0.03*10^3</f>
        <v>120</v>
      </c>
      <c r="D123">
        <f>3*(G97*Lamierini!$R$20/10+K83/10+Lamierini!$R$21+0.06)</f>
        <v>50.022730242216596</v>
      </c>
      <c r="E123">
        <f>C123+D123</f>
        <v>170.0227302422166</v>
      </c>
      <c r="F123">
        <f>E123/(E39*SQRT(2))</f>
        <v>4.186080275422091E-2</v>
      </c>
      <c r="G123">
        <f>F123*SQRT(3)</f>
        <v>7.250503721592981E-2</v>
      </c>
      <c r="H123">
        <f>Q116/(SQRT(3)*C6*10^3)</f>
        <v>9.1461482007825622E-3</v>
      </c>
      <c r="I123">
        <f>SQRT(G123^2+H123^2)</f>
        <v>7.3079630873411267E-2</v>
      </c>
      <c r="J123">
        <f>100*I123/G18</f>
        <v>2.6308667114428057</v>
      </c>
      <c r="L123">
        <f>H123/I123</f>
        <v>0.12515318005129972</v>
      </c>
      <c r="M123">
        <f>(B6*10^3*J6/(B6*10^3*J6+M116+Q116))*10^2</f>
        <v>99.03325336730417</v>
      </c>
    </row>
    <row r="124" spans="1:19">
      <c r="A124" s="112" t="s">
        <v>581</v>
      </c>
      <c r="B124" s="112"/>
      <c r="J124" s="38" t="str">
        <f>IF(J123&lt;E18, "OK","!!!")</f>
        <v>OK</v>
      </c>
      <c r="M124" s="131" t="str">
        <f>CONCATENATE("cos ϕ = ",J6)</f>
        <v>cos ϕ = 1</v>
      </c>
    </row>
    <row r="125" spans="1:19">
      <c r="A125" s="115" t="s">
        <v>576</v>
      </c>
      <c r="B125" s="118"/>
      <c r="C125" s="91"/>
      <c r="D125" s="92"/>
      <c r="E125" s="92"/>
      <c r="F125" s="92"/>
      <c r="G125" s="92"/>
      <c r="H125" s="92"/>
      <c r="I125" s="92"/>
      <c r="J125" s="93" t="str">
        <f>IF(J124&lt;&gt;"OK","Valore incompatibile con quello indicato nella tab.LXIII pag.2186","")</f>
        <v/>
      </c>
    </row>
    <row r="126" spans="1:19">
      <c r="J126" s="45"/>
    </row>
    <row r="129" spans="1:19">
      <c r="A129" s="51" t="s">
        <v>223</v>
      </c>
      <c r="B129" s="24"/>
      <c r="C129" s="24"/>
      <c r="D129" s="46"/>
      <c r="E129" s="24"/>
      <c r="F129" s="46"/>
      <c r="G129" s="24"/>
      <c r="H129" s="24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</row>
    <row r="130" spans="1:19">
      <c r="A130" s="6"/>
      <c r="B130" s="6"/>
      <c r="C130" t="s">
        <v>224</v>
      </c>
      <c r="D130" s="5" t="s">
        <v>100</v>
      </c>
      <c r="E130" s="5" t="s">
        <v>100</v>
      </c>
      <c r="F130" s="5" t="s">
        <v>100</v>
      </c>
      <c r="G130" s="5" t="s">
        <v>100</v>
      </c>
      <c r="H130" s="5" t="s">
        <v>100</v>
      </c>
      <c r="I130" s="5" t="s">
        <v>100</v>
      </c>
      <c r="L130" s="5" t="s">
        <v>100</v>
      </c>
    </row>
    <row r="131" spans="1:19">
      <c r="A131" s="114" t="s">
        <v>7</v>
      </c>
      <c r="B131" s="25"/>
      <c r="C131" s="87" t="s">
        <v>225</v>
      </c>
      <c r="D131" s="26" t="s">
        <v>226</v>
      </c>
      <c r="E131" s="26" t="s">
        <v>227</v>
      </c>
      <c r="F131" s="26" t="s">
        <v>228</v>
      </c>
      <c r="G131" s="26" t="s">
        <v>229</v>
      </c>
      <c r="H131" s="26" t="s">
        <v>230</v>
      </c>
      <c r="I131" s="26" t="s">
        <v>231</v>
      </c>
      <c r="L131" s="26" t="s">
        <v>232</v>
      </c>
    </row>
    <row r="132" spans="1:19">
      <c r="A132" s="45"/>
      <c r="B132" s="45"/>
      <c r="C132" s="45"/>
      <c r="D132" s="22" t="s">
        <v>233</v>
      </c>
      <c r="E132" s="22" t="s">
        <v>109</v>
      </c>
      <c r="F132" s="22" t="s">
        <v>109</v>
      </c>
      <c r="G132" s="22" t="s">
        <v>233</v>
      </c>
      <c r="H132" s="22" t="s">
        <v>109</v>
      </c>
      <c r="I132" s="22" t="s">
        <v>109</v>
      </c>
      <c r="J132" s="45"/>
      <c r="K132" s="45"/>
      <c r="L132" s="22"/>
      <c r="M132" s="45"/>
      <c r="N132" s="45"/>
      <c r="O132" s="45"/>
      <c r="P132" s="45"/>
      <c r="Q132" s="45"/>
      <c r="R132" s="45"/>
      <c r="S132" s="45"/>
    </row>
    <row r="133" spans="1:19">
      <c r="A133" s="45"/>
      <c r="B133" s="45"/>
      <c r="C133" s="45">
        <v>1</v>
      </c>
      <c r="D133" s="45">
        <f>8.4*(F39^2*A6/G97*10^2)*((C108*10^-3+F108*10^-3)/2)*(((D83*10^-3+F83*10^-3)/3)+C83*10^-3)*10^-6</f>
        <v>5.2318918289756107E-2</v>
      </c>
      <c r="E133" s="45">
        <f>(M116/(B6*10^3))*100</f>
        <v>0.7860847367371393</v>
      </c>
      <c r="F133" s="45">
        <f>D133*I18*1.73*100/D6</f>
        <v>1.8094519008261862</v>
      </c>
      <c r="G133" s="45">
        <f>(E133/J18)*100</f>
        <v>1.0347694143431792</v>
      </c>
      <c r="H133" s="45">
        <f>E133*C133+F133*SIN(C133)+((E133*SIN(C133)+F133*C133)/200)^2</f>
        <v>2.3088386457547045</v>
      </c>
      <c r="I133" s="45">
        <f>SQRT(E133^2+F133^2)</f>
        <v>1.9728267523365037</v>
      </c>
      <c r="J133" s="45"/>
      <c r="K133" s="45"/>
      <c r="L133" s="45">
        <f>E133/I133</f>
        <v>0.39845604070714535</v>
      </c>
      <c r="M133" s="45"/>
      <c r="N133" s="45"/>
      <c r="O133" s="45"/>
      <c r="P133" s="45"/>
      <c r="Q133" s="45"/>
      <c r="R133" s="45"/>
      <c r="S133" s="45"/>
    </row>
    <row r="134" spans="1:19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</row>
    <row r="137" spans="1:19">
      <c r="A137" s="23" t="s">
        <v>234</v>
      </c>
      <c r="B137" s="24"/>
      <c r="C137" s="24"/>
      <c r="D137" s="46"/>
      <c r="E137" s="24"/>
      <c r="F137" s="46"/>
      <c r="G137" s="24"/>
      <c r="H137" s="24"/>
      <c r="I137" s="47"/>
      <c r="J137" s="24"/>
      <c r="K137" s="24"/>
      <c r="L137" s="24"/>
      <c r="M137" s="24"/>
      <c r="N137" s="24"/>
      <c r="O137" s="24"/>
      <c r="P137" s="24"/>
      <c r="Q137" s="24"/>
      <c r="R137" s="24"/>
      <c r="S137" s="24"/>
    </row>
    <row r="138" spans="1:19">
      <c r="A138" s="45"/>
      <c r="B138" s="45"/>
      <c r="C138" s="45" t="s">
        <v>100</v>
      </c>
      <c r="D138" s="45" t="s">
        <v>100</v>
      </c>
      <c r="E138" s="45" t="s">
        <v>100</v>
      </c>
      <c r="F138" s="45"/>
      <c r="G138" s="45"/>
      <c r="H138" s="45" t="s">
        <v>100</v>
      </c>
      <c r="I138" s="45" t="s">
        <v>100</v>
      </c>
      <c r="J138" s="45" t="s">
        <v>100</v>
      </c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1:19">
      <c r="A139" s="114" t="s">
        <v>7</v>
      </c>
      <c r="B139" s="25"/>
      <c r="C139" s="26" t="s">
        <v>173</v>
      </c>
      <c r="D139" s="26" t="s">
        <v>174</v>
      </c>
      <c r="E139" s="26" t="s">
        <v>235</v>
      </c>
      <c r="F139" s="45"/>
      <c r="G139" s="6"/>
      <c r="H139" s="26" t="s">
        <v>236</v>
      </c>
      <c r="I139" s="26" t="s">
        <v>237</v>
      </c>
      <c r="J139" s="26" t="s">
        <v>238</v>
      </c>
      <c r="K139" s="6"/>
      <c r="L139" s="45"/>
      <c r="M139" s="45"/>
      <c r="N139" s="45"/>
      <c r="O139" s="45"/>
      <c r="P139" s="45"/>
      <c r="Q139" s="45"/>
      <c r="R139" s="45"/>
      <c r="S139" s="45"/>
    </row>
    <row r="140" spans="1:19">
      <c r="A140" s="45"/>
      <c r="B140" s="45"/>
      <c r="C140" s="22" t="s">
        <v>124</v>
      </c>
      <c r="D140" s="22" t="s">
        <v>124</v>
      </c>
      <c r="E140" s="22" t="s">
        <v>98</v>
      </c>
      <c r="F140" s="45"/>
      <c r="G140" s="45"/>
      <c r="H140" s="22" t="s">
        <v>98</v>
      </c>
      <c r="I140" s="22" t="s">
        <v>98</v>
      </c>
      <c r="J140" s="22" t="s">
        <v>98</v>
      </c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1:19">
      <c r="A141" s="45"/>
      <c r="B141" s="45"/>
      <c r="C141" s="45">
        <f>I90</f>
        <v>4.4518967016195443</v>
      </c>
      <c r="D141" s="45">
        <f>J90</f>
        <v>6.5779706879604105E-2</v>
      </c>
      <c r="E141" s="45">
        <f>Q116/(N6*(C141+D141))</f>
        <v>1.0519739758810831</v>
      </c>
      <c r="F141" s="45"/>
      <c r="G141" s="45"/>
      <c r="H141" s="45">
        <f>F116/N6*M90</f>
        <v>1.0739000071498197</v>
      </c>
      <c r="I141" s="45">
        <f>K116/(N6*L90)</f>
        <v>37.45553433294166</v>
      </c>
      <c r="J141" s="45">
        <f>AVERAGE(H141,I141)</f>
        <v>19.264717170045738</v>
      </c>
      <c r="K141" s="6"/>
      <c r="L141" s="45"/>
      <c r="M141" s="45"/>
      <c r="N141" s="45"/>
      <c r="O141" s="45"/>
      <c r="P141" s="45"/>
      <c r="Q141" s="45"/>
      <c r="R141" s="45"/>
      <c r="S141" s="45"/>
    </row>
    <row r="142" spans="1:19">
      <c r="A142" s="112" t="s">
        <v>581</v>
      </c>
      <c r="B142" s="112"/>
      <c r="C142" s="45"/>
      <c r="D142" s="45"/>
      <c r="E142" s="12" t="str">
        <f>IF(OR(E141&lt;0,E141&gt;20),"ERRORE","OK")</f>
        <v>OK</v>
      </c>
      <c r="F142" s="45"/>
      <c r="G142" s="45"/>
      <c r="H142" s="6"/>
      <c r="I142" s="6"/>
      <c r="J142" s="38" t="str">
        <f>IF(OR(J141&lt;0,J141&gt;20),"ERRORE","OK")</f>
        <v>OK</v>
      </c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1:19">
      <c r="A143" s="115" t="s">
        <v>576</v>
      </c>
      <c r="B143" s="118"/>
      <c r="C143" s="91"/>
      <c r="D143" s="92"/>
      <c r="E143" s="92" t="str">
        <f>IF(E142&lt;&gt;"OK","Valore non attendibile","")</f>
        <v/>
      </c>
      <c r="F143" s="92"/>
      <c r="G143" s="92"/>
      <c r="H143" s="92"/>
      <c r="I143" s="92"/>
      <c r="J143" s="93" t="str">
        <f>IF(J142&lt;&gt;"OK","Valore non attendibile","")</f>
        <v/>
      </c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1:19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</row>
    <row r="146" spans="1:19">
      <c r="A146" s="23" t="s">
        <v>239</v>
      </c>
      <c r="B146" s="24"/>
      <c r="C146" s="24"/>
      <c r="D146" s="46"/>
      <c r="E146" s="24"/>
      <c r="F146" s="46"/>
      <c r="G146" s="24"/>
      <c r="H146" s="24"/>
      <c r="I146" s="47"/>
      <c r="J146" s="24"/>
      <c r="K146" s="24"/>
      <c r="L146" s="24"/>
      <c r="M146" s="24"/>
      <c r="N146" s="24"/>
      <c r="O146" s="24"/>
      <c r="P146" s="24"/>
      <c r="Q146" s="24"/>
      <c r="R146" s="24"/>
      <c r="S146" s="24"/>
    </row>
    <row r="147" spans="1:19">
      <c r="A147" s="4" t="s">
        <v>240</v>
      </c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19" ht="15" customHeight="1">
      <c r="A148" s="45"/>
      <c r="B148" s="45" t="s">
        <v>241</v>
      </c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19">
      <c r="A149" s="45"/>
      <c r="B149" s="45" t="s">
        <v>597</v>
      </c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1:19">
      <c r="A150" s="45"/>
      <c r="B150" s="45" t="s">
        <v>242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1:19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1:19">
      <c r="A152" s="45" t="s">
        <v>243</v>
      </c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1:19">
      <c r="A153" s="45"/>
      <c r="B153" s="42" t="s">
        <v>244</v>
      </c>
      <c r="C153" s="52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1:19">
      <c r="A154" s="45"/>
      <c r="B154" s="42" t="s">
        <v>245</v>
      </c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1:19" ht="1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</row>
    <row r="156" spans="1:19" ht="15" customHeight="1">
      <c r="A156" s="45"/>
      <c r="B156" s="45"/>
      <c r="C156" s="45" t="s">
        <v>100</v>
      </c>
      <c r="D156" s="45"/>
      <c r="E156" s="45" t="s">
        <v>100</v>
      </c>
      <c r="F156" s="45" t="s">
        <v>100</v>
      </c>
      <c r="G156" s="45" t="s">
        <v>100</v>
      </c>
      <c r="K156" s="45"/>
      <c r="L156" s="45"/>
      <c r="M156" s="45"/>
      <c r="N156" s="45"/>
      <c r="O156" s="45"/>
      <c r="P156" s="45"/>
      <c r="Q156" s="45"/>
      <c r="R156" s="45"/>
      <c r="S156" s="45"/>
    </row>
    <row r="157" spans="1:19" ht="15" customHeight="1">
      <c r="A157" s="114" t="s">
        <v>7</v>
      </c>
      <c r="B157" s="25"/>
      <c r="C157" s="26" t="s">
        <v>246</v>
      </c>
      <c r="D157" s="45"/>
      <c r="E157" s="26" t="s">
        <v>110</v>
      </c>
      <c r="F157" s="26" t="s">
        <v>249</v>
      </c>
      <c r="G157" s="26" t="s">
        <v>250</v>
      </c>
      <c r="K157" s="45"/>
      <c r="L157" s="45"/>
      <c r="M157" s="45"/>
      <c r="N157" s="45"/>
      <c r="O157" s="45"/>
      <c r="P157" s="45"/>
      <c r="Q157" s="45"/>
      <c r="R157" s="45"/>
      <c r="S157" s="45"/>
    </row>
    <row r="158" spans="1:19" ht="15" customHeight="1">
      <c r="A158" s="45"/>
      <c r="B158" s="45"/>
      <c r="C158" s="22" t="s">
        <v>46</v>
      </c>
      <c r="D158" s="45"/>
      <c r="E158" s="22" t="s">
        <v>46</v>
      </c>
      <c r="F158" s="22" t="s">
        <v>46</v>
      </c>
      <c r="G158" s="22" t="s">
        <v>46</v>
      </c>
      <c r="K158" s="45"/>
      <c r="L158" s="45"/>
      <c r="M158" s="45"/>
      <c r="N158" s="45"/>
      <c r="O158" s="45"/>
      <c r="P158" s="45"/>
      <c r="Q158" s="45"/>
      <c r="R158" s="45"/>
      <c r="S158" s="45"/>
    </row>
    <row r="159" spans="1:19" ht="15" customHeight="1">
      <c r="A159" s="45"/>
      <c r="B159" s="45"/>
      <c r="C159" s="45">
        <f>C83*2.5</f>
        <v>20</v>
      </c>
      <c r="D159" s="45"/>
      <c r="E159" s="45">
        <f>2*D90+2*K97+L97+R6+S6</f>
        <v>981.54167019552426</v>
      </c>
      <c r="F159" s="45">
        <f>2*C159+E90</f>
        <v>525.65047051444469</v>
      </c>
      <c r="G159" s="45">
        <f>E28*10^3+2*C159+2*(C83+D83+E83+F83)</f>
        <v>186.142434140722</v>
      </c>
      <c r="K159" s="45"/>
      <c r="L159" s="45"/>
      <c r="M159" s="45"/>
      <c r="N159" s="45"/>
      <c r="O159" s="45"/>
      <c r="P159" s="45"/>
      <c r="Q159" s="45"/>
      <c r="R159" s="45"/>
      <c r="S159" s="45"/>
    </row>
    <row r="160" spans="1:19" ht="1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</row>
    <row r="161" spans="1:19" ht="1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</row>
    <row r="162" spans="1:19" ht="15" customHeight="1"/>
    <row r="163" spans="1:19" ht="15" customHeight="1">
      <c r="A163" s="23" t="s">
        <v>251</v>
      </c>
      <c r="B163" s="24"/>
      <c r="C163" s="24"/>
      <c r="D163" s="46"/>
      <c r="E163" s="24"/>
      <c r="F163" s="46"/>
      <c r="G163" s="24"/>
      <c r="H163" s="24"/>
      <c r="I163" s="47"/>
      <c r="J163" s="24"/>
      <c r="K163" s="24"/>
      <c r="L163" s="24"/>
      <c r="M163" s="24"/>
      <c r="N163" s="24"/>
      <c r="O163" s="24"/>
      <c r="P163" s="24"/>
      <c r="Q163" s="24"/>
      <c r="R163" s="24"/>
      <c r="S163" s="24"/>
    </row>
    <row r="164" spans="1:19" ht="15" customHeight="1">
      <c r="A164" s="45" t="s">
        <v>591</v>
      </c>
      <c r="B164" s="6"/>
      <c r="C164" s="6"/>
      <c r="D164" s="8"/>
      <c r="E164" s="6"/>
      <c r="F164" s="8"/>
      <c r="G164" s="6"/>
      <c r="H164" s="6"/>
      <c r="I164" s="53"/>
      <c r="J164" s="6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1:19" ht="15" customHeight="1" thickBo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1:19" ht="15" customHeight="1">
      <c r="A166" s="190" t="s">
        <v>589</v>
      </c>
      <c r="B166" s="190" t="s">
        <v>592</v>
      </c>
      <c r="C166" s="166" t="s">
        <v>253</v>
      </c>
      <c r="D166" s="168"/>
      <c r="E166" s="183" t="s">
        <v>254</v>
      </c>
      <c r="F166" s="183" t="s">
        <v>255</v>
      </c>
      <c r="G166" s="166" t="s">
        <v>256</v>
      </c>
      <c r="H166" s="167"/>
      <c r="I166" s="167"/>
      <c r="J166" s="167"/>
      <c r="K166" s="167"/>
      <c r="L166" s="168"/>
      <c r="M166" s="166" t="s">
        <v>257</v>
      </c>
      <c r="N166" s="167"/>
      <c r="O166" s="167"/>
      <c r="P166" s="167"/>
      <c r="Q166" s="168"/>
      <c r="R166" s="166" t="s">
        <v>258</v>
      </c>
      <c r="S166" s="168"/>
    </row>
    <row r="167" spans="1:19" ht="15" customHeight="1">
      <c r="A167" s="191"/>
      <c r="B167" s="191"/>
      <c r="C167" s="169" t="s">
        <v>259</v>
      </c>
      <c r="D167" s="175" t="s">
        <v>260</v>
      </c>
      <c r="E167" s="184"/>
      <c r="F167" s="184"/>
      <c r="G167" s="186" t="s">
        <v>261</v>
      </c>
      <c r="H167" s="188" t="s">
        <v>261</v>
      </c>
      <c r="I167" s="188" t="s">
        <v>262</v>
      </c>
      <c r="J167" s="188" t="s">
        <v>262</v>
      </c>
      <c r="K167" s="188" t="s">
        <v>263</v>
      </c>
      <c r="L167" s="193" t="s">
        <v>263</v>
      </c>
      <c r="M167" s="169" t="s">
        <v>264</v>
      </c>
      <c r="N167" s="171" t="s">
        <v>265</v>
      </c>
      <c r="O167" s="173" t="s">
        <v>266</v>
      </c>
      <c r="P167" s="171" t="s">
        <v>267</v>
      </c>
      <c r="Q167" s="175" t="s">
        <v>268</v>
      </c>
      <c r="R167" s="169" t="s">
        <v>269</v>
      </c>
      <c r="S167" s="177" t="s">
        <v>270</v>
      </c>
    </row>
    <row r="168" spans="1:19" ht="15" customHeight="1">
      <c r="A168" s="192"/>
      <c r="B168" s="192"/>
      <c r="C168" s="170"/>
      <c r="D168" s="176"/>
      <c r="E168" s="185"/>
      <c r="F168" s="185"/>
      <c r="G168" s="187"/>
      <c r="H168" s="189"/>
      <c r="I168" s="189"/>
      <c r="J168" s="189"/>
      <c r="K168" s="189"/>
      <c r="L168" s="194"/>
      <c r="M168" s="170"/>
      <c r="N168" s="172"/>
      <c r="O168" s="174"/>
      <c r="P168" s="172"/>
      <c r="Q168" s="176"/>
      <c r="R168" s="170"/>
      <c r="S168" s="178"/>
    </row>
    <row r="169" spans="1:19" ht="15" customHeight="1">
      <c r="A169" s="56" t="s">
        <v>92</v>
      </c>
      <c r="B169" s="56" t="s">
        <v>93</v>
      </c>
      <c r="C169" s="54" t="s">
        <v>212</v>
      </c>
      <c r="D169" s="55" t="s">
        <v>212</v>
      </c>
      <c r="E169" s="56" t="s">
        <v>109</v>
      </c>
      <c r="F169" s="56" t="s">
        <v>109</v>
      </c>
      <c r="G169" s="54" t="s">
        <v>271</v>
      </c>
      <c r="H169" s="125" t="s">
        <v>272</v>
      </c>
      <c r="I169" s="125" t="s">
        <v>271</v>
      </c>
      <c r="J169" s="125" t="s">
        <v>272</v>
      </c>
      <c r="K169" s="125" t="s">
        <v>271</v>
      </c>
      <c r="L169" s="55" t="s">
        <v>272</v>
      </c>
      <c r="M169" s="54" t="s">
        <v>273</v>
      </c>
      <c r="N169" s="125" t="s">
        <v>273</v>
      </c>
      <c r="O169" s="125" t="s">
        <v>273</v>
      </c>
      <c r="P169" s="125" t="s">
        <v>273</v>
      </c>
      <c r="Q169" s="55" t="s">
        <v>273</v>
      </c>
      <c r="R169" s="54" t="s">
        <v>274</v>
      </c>
      <c r="S169" s="55" t="s">
        <v>46</v>
      </c>
    </row>
    <row r="170" spans="1:19" ht="15" customHeight="1" thickBot="1">
      <c r="A170" s="58">
        <f>VLOOKUP(B6,'Tabelle riferimento'!B506:T525,1)</f>
        <v>50</v>
      </c>
      <c r="B170" s="58" t="str">
        <f>VLOOKUP(B6,'Tabelle riferimento'!B506:T525,2)</f>
        <v>15-20</v>
      </c>
      <c r="C170" s="59">
        <f>VLOOKUP(B6,'Tabelle riferimento'!B506:T525,3)</f>
        <v>250</v>
      </c>
      <c r="D170" s="60">
        <f>VLOOKUP(B6,'Tabelle riferimento'!B506:T525,4)</f>
        <v>1200</v>
      </c>
      <c r="E170" s="58">
        <f>VLOOKUP(B6,'Tabelle riferimento'!B506:T525,5)</f>
        <v>3.5</v>
      </c>
      <c r="F170" s="58">
        <f>VLOOKUP(B6,'Tabelle riferimento'!B506:T525,6)</f>
        <v>4.2</v>
      </c>
      <c r="G170" s="59">
        <f>VLOOKUP(B6,'Tabelle riferimento'!B506:T525,7)</f>
        <v>97.18</v>
      </c>
      <c r="H170" s="61">
        <f>VLOOKUP(B6,'Tabelle riferimento'!B506:T525,8)</f>
        <v>96.48</v>
      </c>
      <c r="I170" s="61">
        <f>VLOOKUP(B6,'Tabelle riferimento'!B506:T525,9)</f>
        <v>97.54</v>
      </c>
      <c r="J170" s="61">
        <f>VLOOKUP(B6,'Tabelle riferimento'!B506:T525,10)</f>
        <v>96.92</v>
      </c>
      <c r="K170" s="61">
        <f>VLOOKUP(B6,'Tabelle riferimento'!B506:T525,11)</f>
        <v>97.84</v>
      </c>
      <c r="L170" s="60">
        <f>VLOOKUP(B6,'Tabelle riferimento'!B506:T525,12)</f>
        <v>97.32</v>
      </c>
      <c r="M170" s="59">
        <f>VLOOKUP(B6,'Tabelle riferimento'!B506:T525,13)</f>
        <v>165</v>
      </c>
      <c r="N170" s="61">
        <f>VLOOKUP(B6,'Tabelle riferimento'!B506:T525,14)</f>
        <v>60</v>
      </c>
      <c r="O170" s="61">
        <f>VLOOKUP(B6,'Tabelle riferimento'!B506:T525,15)</f>
        <v>310</v>
      </c>
      <c r="P170" s="61">
        <f>VLOOKUP(B6,'Tabelle riferimento'!B506:T525,16)</f>
        <v>120</v>
      </c>
      <c r="Q170" s="60">
        <f>VLOOKUP(B6,'Tabelle riferimento'!B506:T525,17)</f>
        <v>490</v>
      </c>
      <c r="R170" s="59" t="str">
        <f>VLOOKUP(B6,'Tabelle riferimento'!B506:T525,18)</f>
        <v>900x480</v>
      </c>
      <c r="S170" s="60">
        <f>VLOOKUP(B6,'Tabelle riferimento'!B506:T525,19)</f>
        <v>1060</v>
      </c>
    </row>
    <row r="171" spans="1:19">
      <c r="A171" s="63">
        <f>B6</f>
        <v>50</v>
      </c>
      <c r="B171" s="63">
        <f>C6</f>
        <v>6</v>
      </c>
      <c r="C171" s="63">
        <f>INT(Q116)</f>
        <v>95</v>
      </c>
      <c r="D171" s="63"/>
      <c r="E171" s="62">
        <f>J123</f>
        <v>2.6308667114428057</v>
      </c>
      <c r="F171" s="62">
        <f>I133</f>
        <v>1.9728267523365037</v>
      </c>
      <c r="G171" s="62">
        <f>M123</f>
        <v>99.03325336730417</v>
      </c>
      <c r="H171" s="63"/>
      <c r="I171" s="63"/>
      <c r="J171" s="63"/>
      <c r="K171" s="63"/>
      <c r="L171" s="63"/>
      <c r="M171" s="63">
        <f>INT(N108)</f>
        <v>82</v>
      </c>
      <c r="N171" s="63">
        <f>INT(I108)</f>
        <v>30</v>
      </c>
      <c r="O171" s="63"/>
      <c r="P171" s="63"/>
      <c r="Q171" s="63"/>
      <c r="R171" s="63" t="str">
        <f>CONCATENATE(TEXT(F159,"#"),"x",TEXT(G159,"#"))</f>
        <v>526x186</v>
      </c>
      <c r="S171" s="63">
        <f>INT(E159)</f>
        <v>981</v>
      </c>
    </row>
    <row r="172" spans="1:19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1:19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</sheetData>
  <mergeCells count="25">
    <mergeCell ref="A1:S2"/>
    <mergeCell ref="A3:S3"/>
    <mergeCell ref="E166:E168"/>
    <mergeCell ref="F166:F168"/>
    <mergeCell ref="G166:L166"/>
    <mergeCell ref="G167:G168"/>
    <mergeCell ref="H167:H168"/>
    <mergeCell ref="I167:I168"/>
    <mergeCell ref="J167:J168"/>
    <mergeCell ref="A166:A168"/>
    <mergeCell ref="B166:B168"/>
    <mergeCell ref="C166:D166"/>
    <mergeCell ref="C167:C168"/>
    <mergeCell ref="D167:D168"/>
    <mergeCell ref="K167:K168"/>
    <mergeCell ref="L167:L168"/>
    <mergeCell ref="M166:Q166"/>
    <mergeCell ref="R166:S166"/>
    <mergeCell ref="M167:M168"/>
    <mergeCell ref="N167:N168"/>
    <mergeCell ref="O167:O168"/>
    <mergeCell ref="P167:P168"/>
    <mergeCell ref="Q167:Q168"/>
    <mergeCell ref="R167:R168"/>
    <mergeCell ref="S167:S168"/>
  </mergeCells>
  <conditionalFormatting sqref="A7:M7 O7:Q7 E142 J142 D52 G52 D60 D64 G64 S7">
    <cfRule type="containsText" dxfId="25" priority="153" operator="containsText" text="OK">
      <formula>NOT(ISERROR(SEARCH("OK",A7)))</formula>
    </cfRule>
  </conditionalFormatting>
  <conditionalFormatting sqref="N7 S117 C98 L98 C117 H117 R7:S7">
    <cfRule type="containsText" dxfId="24" priority="18" operator="containsText" text="ERRORE">
      <formula>NOT(ISERROR(SEARCH("ERRORE",C7)))</formula>
    </cfRule>
    <cfRule type="containsText" dxfId="23" priority="156" operator="containsText" text="OK">
      <formula>NOT(ISERROR(SEARCH("OK",C7)))</formula>
    </cfRule>
  </conditionalFormatting>
  <conditionalFormatting sqref="J124">
    <cfRule type="containsText" dxfId="22" priority="3" operator="containsText" text="!!!">
      <formula>NOT(ISERROR(SEARCH("!!!",J124)))</formula>
    </cfRule>
    <cfRule type="containsText" dxfId="21" priority="159" operator="containsText" text="OK">
      <formula>NOT(ISERROR(SEARCH("OK",J124)))</formula>
    </cfRule>
  </conditionalFormatting>
  <conditionalFormatting sqref="C40">
    <cfRule type="containsText" dxfId="20" priority="126" operator="containsText" text="ERRORE">
      <formula>NOT(ISERROR(SEARCH("ERRORE",C40)))</formula>
    </cfRule>
    <cfRule type="containsText" dxfId="19" priority="148" operator="containsText" text="OK">
      <formula>NOT(ISERROR(SEARCH("OK",C40)))</formula>
    </cfRule>
  </conditionalFormatting>
  <conditionalFormatting sqref="G52 G64">
    <cfRule type="containsText" dxfId="18" priority="129" operator="containsText" text="VALORE">
      <formula>NOT(ISERROR(SEARCH("VALORE",G52)))</formula>
    </cfRule>
    <cfRule type="containsText" dxfId="17" priority="130" operator="containsText" text="OK">
      <formula>NOT(ISERROR(SEARCH("OK",G52)))</formula>
    </cfRule>
  </conditionalFormatting>
  <conditionalFormatting sqref="D64">
    <cfRule type="containsText" dxfId="16" priority="124" operator="containsText" text="350V">
      <formula>NOT(ISERROR(SEARCH("350V",D64)))</formula>
    </cfRule>
  </conditionalFormatting>
  <conditionalFormatting sqref="A8 B9">
    <cfRule type="containsText" dxfId="15" priority="111" operator="containsText" text="Valori ammessi">
      <formula>NOT(ISERROR(SEARCH("Valori ammessi",A8)))</formula>
    </cfRule>
  </conditionalFormatting>
  <conditionalFormatting sqref="E9 F8 K8 O8 C10 G9 L9 P9 M10 Q10 I11 N11 J9 S8">
    <cfRule type="containsText" dxfId="14" priority="99" operator="containsText" text="Scegliere fra">
      <formula>NOT(ISERROR(SEARCH("Scegliere fra",C8)))</formula>
    </cfRule>
  </conditionalFormatting>
  <conditionalFormatting sqref="L19 E19">
    <cfRule type="containsText" dxfId="13" priority="68" operator="containsText" text="Mancata">
      <formula>NOT(ISERROR(SEARCH("Mancata",E19)))</formula>
    </cfRule>
  </conditionalFormatting>
  <conditionalFormatting sqref="D11">
    <cfRule type="containsText" dxfId="12" priority="66" operator="containsText" text="minore di">
      <formula>NOT(ISERROR(SEARCH("minore di",D11)))</formula>
    </cfRule>
  </conditionalFormatting>
  <conditionalFormatting sqref="H10">
    <cfRule type="containsText" dxfId="11" priority="65" operator="containsText" text="inadeguata">
      <formula>NOT(ISERROR(SEARCH("inadeguata",H10)))</formula>
    </cfRule>
  </conditionalFormatting>
  <conditionalFormatting sqref="C41">
    <cfRule type="containsText" dxfId="10" priority="50" operator="containsText" text="fuori">
      <formula>NOT(ISERROR(SEARCH("fuori",C41)))</formula>
    </cfRule>
  </conditionalFormatting>
  <conditionalFormatting sqref="D53 G53 D65 G65">
    <cfRule type="containsText" dxfId="9" priority="47" operator="containsText" text="oltre">
      <formula>NOT(ISERROR(SEARCH("oltre",D53)))</formula>
    </cfRule>
  </conditionalFormatting>
  <conditionalFormatting sqref="D52 G52 D64 G64">
    <cfRule type="containsText" dxfId="8" priority="45" operator="containsText" text="!!!">
      <formula>NOT(ISERROR(SEARCH("!!!",D52)))</formula>
    </cfRule>
  </conditionalFormatting>
  <conditionalFormatting sqref="C84">
    <cfRule type="containsText" dxfId="7" priority="34" operator="containsText" text="corrispondenza di">
      <formula>NOT(ISERROR(SEARCH("corrispondenza di",C84)))</formula>
    </cfRule>
  </conditionalFormatting>
  <conditionalFormatting sqref="C99 L99">
    <cfRule type="containsText" dxfId="6" priority="31" operator="containsText" text="h₁">
      <formula>NOT(ISERROR(SEARCH("h₁",C99)))</formula>
    </cfRule>
  </conditionalFormatting>
  <conditionalFormatting sqref="E142 J142">
    <cfRule type="containsText" dxfId="5" priority="15" operator="containsText" text="ERRORE">
      <formula>NOT(ISERROR(SEARCH("ERRORE",E142)))</formula>
    </cfRule>
  </conditionalFormatting>
  <conditionalFormatting sqref="E143">
    <cfRule type="containsText" dxfId="4" priority="12" operator="containsText" text="attendibile">
      <formula>NOT(ISERROR(SEARCH("attendibile",E143)))</formula>
    </cfRule>
  </conditionalFormatting>
  <conditionalFormatting sqref="J143">
    <cfRule type="containsText" dxfId="3" priority="11" operator="containsText" text="Valore non">
      <formula>NOT(ISERROR(SEARCH("Valore non",J143)))</formula>
    </cfRule>
  </conditionalFormatting>
  <conditionalFormatting sqref="R9">
    <cfRule type="containsText" dxfId="2" priority="8" operator="containsText" text="Minimo">
      <formula>NOT(ISERROR(SEARCH("Minimo",R9)))</formula>
    </cfRule>
  </conditionalFormatting>
  <conditionalFormatting sqref="J125">
    <cfRule type="containsText" dxfId="1" priority="2" operator="containsText" text="!!!">
      <formula>NOT(ISERROR(SEARCH("!!!",J125)))</formula>
    </cfRule>
  </conditionalFormatting>
  <conditionalFormatting sqref="H41">
    <cfRule type="containsText" dxfId="0" priority="1" operator="containsText" text="oltre il limite">
      <formula>NOT(ISERROR(SEARCH("oltre il limite",H41)))</formula>
    </cfRule>
  </conditionalFormatting>
  <dataValidations count="5">
    <dataValidation operator="equal" allowBlank="1" showInputMessage="1" showErrorMessage="1" promptTitle="Inserire il tipo di lamiera" prompt="0.8 : a cristalli orientati&#10;1.2 : legata&#10;1.7 : legata&#10;3.2 : in acciaio extradolce" sqref="K6"/>
    <dataValidation operator="equal" allowBlank="1" showInputMessage="1" showErrorMessage="1" promptTitle="Induzione Massima nel Nucleo" prompt="(tab.LIX pag.2179)" sqref="L6"/>
    <dataValidation operator="equal" allowBlank="1" showInputMessage="1" showErrorMessage="1" promptTitle="Cifra di Perdita" prompt="Inserire il valore della Cifra di Perdita&#10;&#10;Per lamiera&#10;   extra-legata : 1,3 ÷ 1,1&#10;   grani orientati : 1 ÷ 0.,7" sqref="M6">
      <formula1>0</formula1>
      <formula2>0</formula2>
    </dataValidation>
    <dataValidation operator="equal" allowBlank="1" showInputMessage="1" showErrorMessage="1" promptTitle="Spessore isolante per B.T." prompt="Scegliere il tipo di isolante per l'avvolgimento B.T. inserendo il valore del suo spessore tra:&#10;&#10;bispessore vernice ; 0,1÷0,18&#10;bispessore carta ; 0,3÷0,6" sqref="P6">
      <formula1>0</formula1>
      <formula2>0</formula2>
    </dataValidation>
    <dataValidation operator="equal" allowBlank="1" showInputMessage="1" showErrorMessage="1" sqref="H97">
      <formula1>0</formula1>
      <formula2>0</formula2>
    </dataValidation>
  </dataValidations>
  <hyperlinks>
    <hyperlink ref="L4" location="Lamierini!A1" display="Bn"/>
  </hyperlinks>
  <pageMargins left="0.7" right="0.7" top="0.75" bottom="0.75" header="0.51180555555555496" footer="0.51180555555555496"/>
  <pageSetup firstPageNumber="0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0"/>
  <sheetViews>
    <sheetView showGridLines="0" workbookViewId="0"/>
  </sheetViews>
  <sheetFormatPr defaultRowHeight="15"/>
  <cols>
    <col min="1" max="16" width="8.7109375" customWidth="1"/>
    <col min="17" max="17" width="9.140625" customWidth="1"/>
    <col min="18" max="1025" width="8.7109375" customWidth="1"/>
  </cols>
  <sheetData>
    <row r="1" spans="1:20">
      <c r="A1" s="64"/>
      <c r="B1" s="64"/>
      <c r="C1" s="64"/>
      <c r="D1" s="64"/>
      <c r="E1" s="64"/>
      <c r="F1" s="64"/>
      <c r="G1" s="64"/>
      <c r="H1" s="64"/>
      <c r="I1" s="64"/>
      <c r="J1" s="64"/>
      <c r="K1" s="65" t="s">
        <v>275</v>
      </c>
      <c r="L1" s="64"/>
      <c r="M1" s="64"/>
      <c r="N1" s="64"/>
      <c r="O1" s="64"/>
      <c r="P1" s="64"/>
      <c r="Q1" s="64"/>
      <c r="R1" s="64"/>
      <c r="S1" s="64"/>
      <c r="T1" s="66" t="s">
        <v>276</v>
      </c>
    </row>
    <row r="2" spans="1:20" ht="15" customHeight="1">
      <c r="A2" s="67"/>
      <c r="B2" s="67"/>
      <c r="C2" s="68"/>
      <c r="D2" s="68"/>
      <c r="E2" s="68"/>
      <c r="F2" s="68"/>
      <c r="G2" s="68"/>
      <c r="H2" s="68"/>
      <c r="I2" s="67"/>
      <c r="K2" s="67"/>
      <c r="L2" s="67"/>
      <c r="M2" s="67"/>
      <c r="N2" s="67"/>
      <c r="O2" s="67"/>
      <c r="P2" s="67"/>
      <c r="R2" s="67"/>
      <c r="S2" s="67"/>
      <c r="T2" s="67"/>
    </row>
    <row r="3" spans="1:20" ht="15" customHeight="1">
      <c r="A3" s="67"/>
      <c r="B3" s="68"/>
      <c r="C3" s="68"/>
      <c r="D3" s="68"/>
      <c r="E3" s="68"/>
      <c r="F3" s="68"/>
      <c r="G3" s="68"/>
      <c r="H3" s="68"/>
      <c r="I3" s="67"/>
      <c r="K3" s="69" t="s">
        <v>277</v>
      </c>
      <c r="L3" s="67"/>
      <c r="M3" s="67"/>
      <c r="N3" s="67"/>
      <c r="O3" s="67"/>
      <c r="P3" s="67"/>
      <c r="R3" s="1" t="s">
        <v>278</v>
      </c>
      <c r="S3" s="1" t="s">
        <v>279</v>
      </c>
      <c r="T3" s="1" t="s">
        <v>280</v>
      </c>
    </row>
    <row r="4" spans="1:20" ht="15" customHeight="1">
      <c r="A4" s="67"/>
      <c r="B4" s="202" t="s">
        <v>603</v>
      </c>
      <c r="C4" s="202"/>
      <c r="D4" s="202"/>
      <c r="E4" s="202"/>
      <c r="F4" s="202"/>
      <c r="G4" s="202"/>
      <c r="H4" s="202"/>
      <c r="I4" s="202"/>
      <c r="K4" s="67" t="s">
        <v>281</v>
      </c>
      <c r="L4" s="67"/>
      <c r="M4" s="67"/>
      <c r="N4" s="67"/>
      <c r="O4" s="67"/>
      <c r="P4" s="67"/>
      <c r="R4" s="70" t="str">
        <f>Elaborazione!$C$106</f>
        <v>lm₁</v>
      </c>
      <c r="S4" s="71">
        <f>Elaborazione!$C$108</f>
        <v>418.45522216615615</v>
      </c>
      <c r="T4" s="70" t="str">
        <f>Elaborazione!$C$107</f>
        <v>mm</v>
      </c>
    </row>
    <row r="5" spans="1:20" ht="15" customHeight="1">
      <c r="A5" s="67"/>
      <c r="B5" s="202"/>
      <c r="C5" s="202"/>
      <c r="D5" s="202"/>
      <c r="E5" s="202"/>
      <c r="F5" s="202"/>
      <c r="G5" s="202"/>
      <c r="H5" s="202"/>
      <c r="I5" s="202"/>
      <c r="K5" s="67" t="s">
        <v>282</v>
      </c>
      <c r="L5" s="67"/>
      <c r="M5" s="67"/>
      <c r="N5" s="67"/>
      <c r="O5" s="67"/>
      <c r="P5" s="67"/>
      <c r="R5" s="70" t="str">
        <f>Elaborazione!$F$106</f>
        <v>lm₂</v>
      </c>
      <c r="S5" s="71">
        <f>Elaborazione!$F$108</f>
        <v>300.50726757978094</v>
      </c>
      <c r="T5" s="70" t="str">
        <f>Elaborazione!$F$107</f>
        <v>mm</v>
      </c>
    </row>
    <row r="6" spans="1:20" ht="15" customHeight="1">
      <c r="A6" s="67"/>
      <c r="B6" s="202"/>
      <c r="C6" s="202"/>
      <c r="D6" s="202"/>
      <c r="E6" s="202"/>
      <c r="F6" s="202"/>
      <c r="G6" s="202"/>
      <c r="H6" s="202"/>
      <c r="I6" s="202"/>
      <c r="K6" s="67"/>
      <c r="L6" s="67"/>
      <c r="M6" s="67"/>
      <c r="N6" s="67"/>
      <c r="O6" s="67"/>
      <c r="P6" s="67"/>
      <c r="R6" s="67"/>
      <c r="S6" s="67"/>
      <c r="T6" s="67"/>
    </row>
    <row r="7" spans="1:20" ht="15" customHeight="1">
      <c r="A7" s="67"/>
      <c r="B7" s="202"/>
      <c r="C7" s="202"/>
      <c r="D7" s="202"/>
      <c r="E7" s="202"/>
      <c r="F7" s="202"/>
      <c r="G7" s="202"/>
      <c r="H7" s="202"/>
      <c r="I7" s="202"/>
      <c r="K7" s="67" t="s">
        <v>283</v>
      </c>
      <c r="L7" s="67"/>
      <c r="M7" s="67"/>
      <c r="N7" s="67"/>
      <c r="O7" s="67"/>
      <c r="P7" s="67"/>
      <c r="R7" s="70" t="str">
        <f>Elaborazione!$D$106</f>
        <v>Qcu₁</v>
      </c>
      <c r="S7" s="71">
        <f>Elaborazione!$D$108</f>
        <v>14.264364131079654</v>
      </c>
      <c r="T7" s="70" t="str">
        <f>Elaborazione!$D$107</f>
        <v>kg</v>
      </c>
    </row>
    <row r="8" spans="1:20" ht="15" customHeight="1">
      <c r="A8" s="67"/>
      <c r="B8" s="202"/>
      <c r="C8" s="202"/>
      <c r="D8" s="202"/>
      <c r="E8" s="202"/>
      <c r="F8" s="202"/>
      <c r="G8" s="202"/>
      <c r="H8" s="202"/>
      <c r="I8" s="202"/>
      <c r="K8" s="67" t="s">
        <v>284</v>
      </c>
      <c r="L8" s="67"/>
      <c r="M8" s="67"/>
      <c r="N8" s="67"/>
      <c r="O8" s="67"/>
      <c r="P8" s="67"/>
      <c r="R8" s="70" t="str">
        <f>Elaborazione!$G$106</f>
        <v>Qcu₂</v>
      </c>
      <c r="S8" s="71">
        <f>Elaborazione!$G$108</f>
        <v>16.471251537781708</v>
      </c>
      <c r="T8" s="70" t="str">
        <f>Elaborazione!$G$107</f>
        <v>kg</v>
      </c>
    </row>
    <row r="9" spans="1:20" ht="15" customHeight="1">
      <c r="A9" s="67"/>
      <c r="B9" s="202"/>
      <c r="C9" s="202"/>
      <c r="D9" s="202"/>
      <c r="E9" s="202"/>
      <c r="F9" s="202"/>
      <c r="G9" s="202"/>
      <c r="H9" s="202"/>
      <c r="I9" s="202"/>
      <c r="K9" s="67" t="s">
        <v>285</v>
      </c>
      <c r="L9" s="67"/>
      <c r="M9" s="67"/>
      <c r="N9" s="67"/>
      <c r="O9" s="67"/>
      <c r="P9" s="67"/>
      <c r="R9" s="70" t="str">
        <f>Elaborazione!$I$106</f>
        <v>Qcu</v>
      </c>
      <c r="S9" s="72">
        <f>Elaborazione!$I$108</f>
        <v>30.735615668861364</v>
      </c>
      <c r="T9" s="70" t="str">
        <f>Elaborazione!$I$107</f>
        <v>kg</v>
      </c>
    </row>
    <row r="10" spans="1:20" ht="15" customHeight="1">
      <c r="A10" s="67"/>
      <c r="B10" s="202"/>
      <c r="C10" s="202"/>
      <c r="D10" s="202"/>
      <c r="E10" s="202"/>
      <c r="F10" s="202"/>
      <c r="G10" s="202"/>
      <c r="H10" s="202"/>
      <c r="I10" s="202"/>
      <c r="K10" s="67"/>
      <c r="L10" s="67"/>
      <c r="M10" s="67"/>
      <c r="N10" s="67"/>
      <c r="O10" s="67"/>
      <c r="P10" s="67"/>
      <c r="R10" s="67"/>
      <c r="S10" s="67"/>
      <c r="T10" s="67"/>
    </row>
    <row r="11" spans="1:20" ht="15" customHeight="1">
      <c r="A11" s="67"/>
      <c r="B11" s="202"/>
      <c r="C11" s="202"/>
      <c r="D11" s="202"/>
      <c r="E11" s="202"/>
      <c r="F11" s="202"/>
      <c r="G11" s="202"/>
      <c r="H11" s="202"/>
      <c r="I11" s="202"/>
      <c r="K11" s="67" t="s">
        <v>286</v>
      </c>
      <c r="L11" s="67"/>
      <c r="M11" s="67"/>
      <c r="N11" s="67"/>
      <c r="O11" s="67"/>
      <c r="P11" s="67"/>
      <c r="R11" s="70" t="str">
        <f>Elaborazione!$K$106</f>
        <v>Qfen</v>
      </c>
      <c r="S11" s="71">
        <f>Elaborazione!$K$108</f>
        <v>46.129041599999994</v>
      </c>
      <c r="T11" s="70" t="str">
        <f>Elaborazione!$K$107</f>
        <v>kg</v>
      </c>
    </row>
    <row r="12" spans="1:20" ht="15" customHeight="1">
      <c r="A12" s="67"/>
      <c r="B12" s="202"/>
      <c r="C12" s="202"/>
      <c r="D12" s="202"/>
      <c r="E12" s="202"/>
      <c r="F12" s="202"/>
      <c r="G12" s="202"/>
      <c r="H12" s="202"/>
      <c r="I12" s="202"/>
      <c r="K12" s="67" t="s">
        <v>287</v>
      </c>
      <c r="L12" s="67"/>
      <c r="M12" s="67"/>
      <c r="N12" s="67"/>
      <c r="O12" s="67"/>
      <c r="P12" s="67"/>
      <c r="R12" s="70" t="str">
        <f>Elaborazione!$L$106</f>
        <v>Qfeg</v>
      </c>
      <c r="S12" s="71">
        <f>Elaborazione!$L$108</f>
        <v>36.710513326375086</v>
      </c>
      <c r="T12" s="70" t="str">
        <f>Elaborazione!$L$107</f>
        <v>kg</v>
      </c>
    </row>
    <row r="13" spans="1:20" ht="15" customHeight="1">
      <c r="A13" s="67"/>
      <c r="B13" s="67"/>
      <c r="C13" s="67"/>
      <c r="D13" s="67"/>
      <c r="E13" s="67"/>
      <c r="F13" s="67"/>
      <c r="G13" s="67"/>
      <c r="H13" s="67"/>
      <c r="I13" s="67"/>
      <c r="K13" s="67" t="s">
        <v>288</v>
      </c>
      <c r="L13" s="67"/>
      <c r="M13" s="67"/>
      <c r="N13" s="67"/>
      <c r="O13" s="67"/>
      <c r="P13" s="67"/>
      <c r="R13" s="70" t="str">
        <f>Elaborazione!$N$106</f>
        <v>Qfe</v>
      </c>
      <c r="S13" s="71">
        <f>Elaborazione!$N$108</f>
        <v>82.839554926375087</v>
      </c>
      <c r="T13" s="70" t="str">
        <f>Elaborazione!$N$107</f>
        <v>kg</v>
      </c>
    </row>
    <row r="14" spans="1:20" ht="1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39"/>
      <c r="T14" s="39"/>
    </row>
    <row r="15" spans="1:20" ht="15" customHeight="1">
      <c r="A15" s="67"/>
      <c r="B15" s="67"/>
      <c r="C15" s="28"/>
      <c r="D15" s="28"/>
      <c r="E15" s="28"/>
      <c r="F15" s="28"/>
      <c r="G15" s="28"/>
      <c r="H15" s="28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39"/>
      <c r="T15" s="39"/>
    </row>
    <row r="16" spans="1:20">
      <c r="A16" s="67"/>
      <c r="B16" s="67"/>
      <c r="C16" s="28"/>
      <c r="D16" s="28"/>
      <c r="E16" s="28"/>
      <c r="F16" s="28"/>
      <c r="G16" s="28"/>
      <c r="H16" s="28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39"/>
      <c r="T16" s="39"/>
    </row>
    <row r="17" spans="1:20">
      <c r="A17" s="73"/>
      <c r="B17" s="195" t="s">
        <v>289</v>
      </c>
      <c r="C17" s="195"/>
      <c r="D17" s="195"/>
      <c r="E17" s="195"/>
      <c r="F17" s="195"/>
      <c r="G17" s="195"/>
      <c r="H17" s="195"/>
      <c r="I17" s="195"/>
      <c r="J17" s="67"/>
      <c r="K17" s="67"/>
      <c r="L17" s="67"/>
      <c r="M17" s="67"/>
      <c r="N17" s="67"/>
      <c r="O17" s="67"/>
      <c r="P17" s="67"/>
      <c r="Q17" s="67"/>
      <c r="R17" s="67"/>
      <c r="S17" s="39"/>
      <c r="T17" s="39"/>
    </row>
    <row r="18" spans="1:20">
      <c r="A18" s="73"/>
      <c r="B18" s="195" t="s">
        <v>5</v>
      </c>
      <c r="C18" s="195"/>
      <c r="D18" s="195"/>
      <c r="E18" s="195"/>
      <c r="F18" s="195"/>
      <c r="G18" s="195"/>
      <c r="H18" s="195"/>
      <c r="I18" s="195"/>
      <c r="J18" s="67"/>
      <c r="K18" s="67"/>
      <c r="L18" s="67"/>
      <c r="M18" s="67"/>
      <c r="N18" s="67"/>
      <c r="O18" s="67"/>
      <c r="P18" s="67"/>
      <c r="Q18" s="67"/>
      <c r="R18" s="67"/>
      <c r="S18" s="39"/>
      <c r="T18" s="39"/>
    </row>
    <row r="19" spans="1:20">
      <c r="A19" s="67"/>
      <c r="B19" s="196" t="s">
        <v>6</v>
      </c>
      <c r="C19" s="196"/>
      <c r="D19" s="196"/>
      <c r="E19" s="196"/>
      <c r="F19" s="196"/>
      <c r="G19" s="196"/>
      <c r="H19" s="196"/>
      <c r="I19" s="196"/>
      <c r="J19" s="67"/>
      <c r="K19" s="67"/>
      <c r="L19" s="67"/>
      <c r="M19" s="67"/>
      <c r="N19" s="67"/>
      <c r="O19" s="67"/>
      <c r="P19" s="67"/>
      <c r="Q19" s="67"/>
      <c r="R19" s="67"/>
      <c r="S19" s="39"/>
      <c r="T19" s="39"/>
    </row>
    <row r="20" spans="1:20">
      <c r="A20" s="67"/>
      <c r="B20" s="195" t="s">
        <v>8</v>
      </c>
      <c r="C20" s="195"/>
      <c r="D20" s="195"/>
      <c r="E20" s="195"/>
      <c r="F20" s="195"/>
      <c r="G20" s="195"/>
      <c r="H20" s="195"/>
      <c r="I20" s="195"/>
      <c r="J20" s="67"/>
      <c r="K20" s="67"/>
      <c r="L20" s="67"/>
      <c r="M20" s="67"/>
      <c r="N20" s="67"/>
      <c r="O20" s="67"/>
      <c r="P20" s="67"/>
      <c r="Q20" s="67"/>
      <c r="R20" s="67"/>
      <c r="S20" s="39"/>
      <c r="T20" s="39"/>
    </row>
    <row r="21" spans="1:20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39"/>
      <c r="T21" s="39"/>
    </row>
    <row r="22" spans="1:20">
      <c r="A22" s="67"/>
      <c r="B22" s="196" t="s">
        <v>9</v>
      </c>
      <c r="C22" s="196"/>
      <c r="D22" s="196"/>
      <c r="E22" s="196"/>
      <c r="F22" s="196"/>
      <c r="G22" s="196"/>
      <c r="H22" s="196"/>
      <c r="I22" s="196"/>
      <c r="J22" s="67"/>
      <c r="K22" s="67"/>
      <c r="L22" s="67"/>
      <c r="M22" s="67"/>
      <c r="N22" s="67"/>
      <c r="O22" s="67"/>
      <c r="P22" s="67"/>
      <c r="Q22" s="67"/>
      <c r="R22" s="67"/>
      <c r="S22" s="39"/>
      <c r="T22" s="39"/>
    </row>
    <row r="23" spans="1:20">
      <c r="A23" s="67"/>
      <c r="B23" s="195" t="s">
        <v>10</v>
      </c>
      <c r="C23" s="195"/>
      <c r="D23" s="195"/>
      <c r="E23" s="195"/>
      <c r="F23" s="195"/>
      <c r="G23" s="195"/>
      <c r="H23" s="195"/>
      <c r="I23" s="195"/>
      <c r="J23" s="67"/>
      <c r="K23" s="67"/>
      <c r="L23" s="67"/>
      <c r="M23" s="67"/>
      <c r="N23" s="67"/>
      <c r="O23" s="67"/>
      <c r="P23" s="67"/>
      <c r="Q23" s="67"/>
      <c r="R23" s="67"/>
    </row>
    <row r="24" spans="1:20">
      <c r="A24" s="67"/>
      <c r="B24" s="196" t="s">
        <v>11</v>
      </c>
      <c r="C24" s="196"/>
      <c r="D24" s="196"/>
      <c r="E24" s="196"/>
      <c r="F24" s="196"/>
      <c r="G24" s="196"/>
      <c r="H24" s="196"/>
      <c r="I24" s="196"/>
      <c r="J24" s="67"/>
      <c r="K24" s="67"/>
      <c r="L24" s="67"/>
      <c r="M24" s="67"/>
      <c r="N24" s="67"/>
      <c r="O24" s="67"/>
      <c r="P24" s="67"/>
      <c r="Q24" s="67"/>
      <c r="R24" s="67"/>
    </row>
    <row r="25" spans="1:20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1:20">
      <c r="A26" s="67"/>
      <c r="B26" s="197" t="s">
        <v>290</v>
      </c>
      <c r="C26" s="197"/>
      <c r="D26" s="197"/>
      <c r="E26" s="197"/>
      <c r="F26" s="197"/>
      <c r="G26" s="197"/>
      <c r="H26" s="197"/>
      <c r="I26" s="197"/>
      <c r="J26" s="67"/>
      <c r="K26" s="67"/>
      <c r="L26" s="67"/>
      <c r="M26" s="67"/>
      <c r="N26" s="67"/>
      <c r="O26" s="67"/>
      <c r="P26" s="67"/>
      <c r="Q26" s="67"/>
      <c r="R26" s="67"/>
    </row>
    <row r="27" spans="1:20">
      <c r="A27" s="67"/>
      <c r="B27" s="197" t="s">
        <v>13</v>
      </c>
      <c r="C27" s="197"/>
      <c r="D27" s="197"/>
      <c r="E27" s="197"/>
      <c r="F27" s="197"/>
      <c r="G27" s="197"/>
      <c r="H27" s="197"/>
      <c r="I27" s="197"/>
      <c r="J27" s="67"/>
      <c r="K27" s="67"/>
      <c r="L27" s="67"/>
      <c r="M27" s="67"/>
      <c r="N27" s="67"/>
      <c r="O27" s="67"/>
      <c r="P27" s="67"/>
      <c r="Q27" s="67"/>
      <c r="R27" s="67"/>
    </row>
    <row r="28" spans="1:20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20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1:20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1:20">
      <c r="A31" s="67"/>
      <c r="B31" s="195" t="s">
        <v>14</v>
      </c>
      <c r="C31" s="195"/>
      <c r="D31" s="195"/>
      <c r="E31" s="195"/>
      <c r="F31" s="195"/>
      <c r="G31" s="195"/>
      <c r="H31" s="195"/>
      <c r="I31" s="195"/>
      <c r="J31" s="67"/>
      <c r="K31" s="67"/>
      <c r="L31" s="67"/>
      <c r="M31" s="67"/>
      <c r="N31" s="67"/>
      <c r="O31" s="67"/>
      <c r="P31" s="67"/>
      <c r="Q31" s="67"/>
      <c r="R31" s="67"/>
    </row>
    <row r="32" spans="1:20">
      <c r="A32" s="67"/>
      <c r="B32" s="195" t="s">
        <v>15</v>
      </c>
      <c r="C32" s="195"/>
      <c r="D32" s="195"/>
      <c r="E32" s="195"/>
      <c r="F32" s="195"/>
      <c r="G32" s="195"/>
      <c r="H32" s="195"/>
      <c r="I32" s="195"/>
      <c r="J32" s="67"/>
      <c r="K32" s="67"/>
      <c r="L32" s="67"/>
      <c r="M32" s="67"/>
      <c r="N32" s="67"/>
      <c r="O32" s="67"/>
      <c r="P32" s="67"/>
      <c r="Q32" s="67"/>
      <c r="R32" s="67"/>
    </row>
    <row r="33" spans="1:20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1:20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1:20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</row>
    <row r="36" spans="1:20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1:20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70"/>
      <c r="P37" s="70"/>
      <c r="Q37" s="70"/>
      <c r="R37" s="70"/>
    </row>
    <row r="38" spans="1:20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70"/>
      <c r="P38" s="70"/>
      <c r="Q38" s="70"/>
      <c r="R38" s="70"/>
    </row>
    <row r="39" spans="1:20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70"/>
      <c r="P39" s="70"/>
      <c r="Q39" s="70"/>
      <c r="R39" s="70"/>
    </row>
    <row r="40" spans="1:20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70"/>
      <c r="P40" s="70"/>
      <c r="Q40" s="70"/>
      <c r="R40" s="70"/>
    </row>
    <row r="41" spans="1:20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70"/>
      <c r="P41" s="70"/>
      <c r="Q41" s="70"/>
      <c r="R41" s="70"/>
    </row>
    <row r="42" spans="1:20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70"/>
      <c r="P42" s="70"/>
      <c r="Q42" s="70"/>
      <c r="R42" s="70"/>
    </row>
    <row r="43" spans="1:20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70"/>
      <c r="P43" s="70"/>
      <c r="Q43" s="70"/>
      <c r="R43" s="70"/>
    </row>
    <row r="44" spans="1:20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70"/>
      <c r="P44" s="70"/>
      <c r="Q44" s="70"/>
      <c r="R44" s="70"/>
    </row>
    <row r="45" spans="1:20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70"/>
      <c r="P45" s="70"/>
      <c r="Q45" s="70"/>
      <c r="R45" s="70"/>
    </row>
    <row r="46" spans="1:20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70"/>
      <c r="Q46" s="70"/>
      <c r="R46" s="70"/>
    </row>
    <row r="47" spans="1:20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</row>
    <row r="48" spans="1:20">
      <c r="A48" s="65" t="s">
        <v>291</v>
      </c>
      <c r="B48" s="64"/>
      <c r="C48" s="64"/>
      <c r="D48" s="64"/>
      <c r="E48" s="64"/>
      <c r="F48" s="64"/>
      <c r="G48" s="64"/>
      <c r="H48" s="64"/>
      <c r="I48" s="64"/>
      <c r="J48" s="66" t="s">
        <v>292</v>
      </c>
      <c r="K48" s="65" t="s">
        <v>202</v>
      </c>
      <c r="L48" s="64"/>
      <c r="M48" s="64"/>
      <c r="N48" s="64"/>
      <c r="O48" s="64"/>
      <c r="P48" s="64"/>
      <c r="Q48" s="64"/>
      <c r="R48" s="64"/>
      <c r="S48" s="64"/>
      <c r="T48" s="66" t="s">
        <v>293</v>
      </c>
    </row>
    <row r="49" spans="1:20">
      <c r="A49" s="67"/>
      <c r="B49" s="67"/>
      <c r="C49" s="67"/>
      <c r="D49" s="67"/>
      <c r="E49" s="67"/>
      <c r="F49" s="67"/>
      <c r="G49" s="67"/>
      <c r="H49" s="67"/>
      <c r="I49" s="67"/>
      <c r="J49" s="45"/>
      <c r="K49" s="67"/>
      <c r="L49" s="67"/>
      <c r="M49" s="67"/>
      <c r="N49" s="67"/>
      <c r="O49" s="67"/>
      <c r="P49" s="67"/>
      <c r="Q49" s="45"/>
      <c r="R49" s="67"/>
      <c r="S49" s="67"/>
      <c r="T49" s="67"/>
    </row>
    <row r="50" spans="1:20">
      <c r="A50" s="69" t="s">
        <v>277</v>
      </c>
      <c r="B50" s="67"/>
      <c r="C50" s="67"/>
      <c r="D50" s="67"/>
      <c r="E50" s="67"/>
      <c r="F50" s="67"/>
      <c r="G50" s="45"/>
      <c r="H50" s="35" t="s">
        <v>278</v>
      </c>
      <c r="I50" s="35" t="s">
        <v>279</v>
      </c>
      <c r="J50" s="35" t="s">
        <v>280</v>
      </c>
      <c r="K50" s="69" t="s">
        <v>277</v>
      </c>
      <c r="L50" s="67"/>
      <c r="M50" s="67"/>
      <c r="N50" s="67"/>
      <c r="O50" s="67"/>
      <c r="P50" s="67"/>
      <c r="Q50" s="45"/>
      <c r="R50" s="35" t="s">
        <v>278</v>
      </c>
      <c r="S50" s="35" t="s">
        <v>279</v>
      </c>
      <c r="T50" s="35" t="s">
        <v>280</v>
      </c>
    </row>
    <row r="51" spans="1:20">
      <c r="A51" s="67" t="s">
        <v>294</v>
      </c>
      <c r="B51" s="67"/>
      <c r="C51" s="67"/>
      <c r="D51" s="67"/>
      <c r="E51" s="67"/>
      <c r="F51" s="67"/>
      <c r="G51" s="45"/>
      <c r="H51" s="70" t="str">
        <f>Elaborazione!$A$4</f>
        <v>f</v>
      </c>
      <c r="I51" s="70">
        <f>Elaborazione!$A$6</f>
        <v>50</v>
      </c>
      <c r="J51" s="70" t="str">
        <f>Elaborazione!$A$5</f>
        <v>Hz</v>
      </c>
      <c r="K51" s="67" t="s">
        <v>295</v>
      </c>
      <c r="L51" s="67"/>
      <c r="M51" s="67"/>
      <c r="N51" s="67"/>
      <c r="O51" s="67"/>
      <c r="P51" s="67"/>
      <c r="Q51" s="45"/>
      <c r="R51" s="70" t="str">
        <f>Elaborazione!$C$114</f>
        <v>∆₁</v>
      </c>
      <c r="S51" s="70">
        <f>Elaborazione!$C$116</f>
        <v>3.6320109333928809</v>
      </c>
      <c r="T51" s="70" t="str">
        <f>Elaborazione!$C$115</f>
        <v>A/mm²</v>
      </c>
    </row>
    <row r="52" spans="1:20">
      <c r="A52" s="67" t="s">
        <v>296</v>
      </c>
      <c r="B52" s="67"/>
      <c r="C52" s="67"/>
      <c r="D52" s="67"/>
      <c r="E52" s="67"/>
      <c r="F52" s="67"/>
      <c r="G52" s="45"/>
      <c r="H52" s="70" t="str">
        <f>Elaborazione!$B$4</f>
        <v>P</v>
      </c>
      <c r="I52" s="70">
        <f>Elaborazione!$B$6</f>
        <v>50</v>
      </c>
      <c r="J52" s="70" t="str">
        <f>Elaborazione!$B$5</f>
        <v>kVA</v>
      </c>
      <c r="K52" s="67" t="s">
        <v>297</v>
      </c>
      <c r="L52" s="67"/>
      <c r="M52" s="67"/>
      <c r="N52" s="67"/>
      <c r="O52" s="67"/>
      <c r="P52" s="67"/>
      <c r="Q52" s="45"/>
      <c r="R52" s="70" t="str">
        <f>Elaborazione!$H$114</f>
        <v>∆₂</v>
      </c>
      <c r="S52" s="70">
        <f>Elaborazione!$H$116</f>
        <v>3.5267939035675719</v>
      </c>
      <c r="T52" s="70" t="str">
        <f>Elaborazione!$H$115</f>
        <v>A/mm²</v>
      </c>
    </row>
    <row r="53" spans="1:20">
      <c r="A53" s="67" t="s">
        <v>298</v>
      </c>
      <c r="B53" s="67"/>
      <c r="C53" s="67"/>
      <c r="D53" s="67"/>
      <c r="E53" s="67"/>
      <c r="F53" s="73"/>
      <c r="G53" s="45"/>
      <c r="H53" s="70" t="str">
        <f>Elaborazione!$C$4</f>
        <v>U₁</v>
      </c>
      <c r="I53" s="70">
        <f>Elaborazione!$C$6</f>
        <v>6</v>
      </c>
      <c r="J53" s="70" t="str">
        <f>Elaborazione!$C$5</f>
        <v>kV</v>
      </c>
      <c r="K53" s="67"/>
      <c r="L53" s="67"/>
      <c r="M53" s="67"/>
      <c r="N53" s="67"/>
      <c r="O53" s="67"/>
      <c r="P53" s="67"/>
      <c r="Q53" s="45"/>
      <c r="R53" s="67"/>
      <c r="S53" s="70"/>
      <c r="T53" s="67"/>
    </row>
    <row r="54" spans="1:20">
      <c r="A54" s="67" t="s">
        <v>299</v>
      </c>
      <c r="B54" s="67"/>
      <c r="C54" s="67"/>
      <c r="D54" s="67"/>
      <c r="E54" s="67"/>
      <c r="F54" s="73"/>
      <c r="G54" s="45"/>
      <c r="H54" s="70" t="str">
        <f>Elaborazione!$D$4</f>
        <v>U₂</v>
      </c>
      <c r="I54" s="70">
        <f>Elaborazione!$D$6</f>
        <v>380</v>
      </c>
      <c r="J54" s="70" t="str">
        <f>Elaborazione!$D$5</f>
        <v>V</v>
      </c>
      <c r="K54" s="67" t="s">
        <v>300</v>
      </c>
      <c r="L54" s="67"/>
      <c r="M54" s="67"/>
      <c r="N54" s="67"/>
      <c r="O54" s="67"/>
      <c r="P54" s="67"/>
      <c r="Q54" s="45"/>
      <c r="R54" s="70" t="str">
        <f>Elaborazione!$F$114</f>
        <v>Pcu₁</v>
      </c>
      <c r="S54" s="70">
        <f>Elaborazione!$F$116</f>
        <v>188.16840822333401</v>
      </c>
      <c r="T54" s="70" t="str">
        <f>Elaborazione!$F$115</f>
        <v>W</v>
      </c>
    </row>
    <row r="55" spans="1:20">
      <c r="A55" s="67"/>
      <c r="B55" s="67"/>
      <c r="C55" s="67"/>
      <c r="D55" s="67"/>
      <c r="E55" s="67"/>
      <c r="F55" s="67"/>
      <c r="G55" s="45"/>
      <c r="H55" s="67"/>
      <c r="I55" s="67"/>
      <c r="J55" s="67"/>
      <c r="K55" s="67" t="s">
        <v>301</v>
      </c>
      <c r="L55" s="67"/>
      <c r="M55" s="67"/>
      <c r="N55" s="67"/>
      <c r="O55" s="67"/>
      <c r="P55" s="67"/>
      <c r="Q55" s="45"/>
      <c r="R55" s="70" t="str">
        <f>Elaborazione!$K$114</f>
        <v>Pcu₂</v>
      </c>
      <c r="S55" s="70">
        <f>Elaborazione!$K$116</f>
        <v>204.87396014523566</v>
      </c>
      <c r="T55" s="70" t="str">
        <f>Elaborazione!$K$115</f>
        <v>W</v>
      </c>
    </row>
    <row r="56" spans="1:20">
      <c r="A56" s="67" t="s">
        <v>302</v>
      </c>
      <c r="B56" s="67"/>
      <c r="C56" s="67"/>
      <c r="D56" s="67"/>
      <c r="E56" s="67"/>
      <c r="F56" s="73"/>
      <c r="G56" s="45"/>
      <c r="H56" s="70" t="s">
        <v>303</v>
      </c>
      <c r="I56" s="70" t="s">
        <v>304</v>
      </c>
      <c r="J56" s="70" t="s">
        <v>304</v>
      </c>
      <c r="K56" s="67" t="s">
        <v>305</v>
      </c>
      <c r="L56" s="67"/>
      <c r="M56" s="67"/>
      <c r="N56" s="67"/>
      <c r="O56" s="67"/>
      <c r="P56" s="67"/>
      <c r="Q56" s="45"/>
      <c r="R56" s="70" t="str">
        <f>Elaborazione!$M$114</f>
        <v>Pcu</v>
      </c>
      <c r="S56" s="70">
        <f>Elaborazione!$M$116</f>
        <v>393.04236836856967</v>
      </c>
      <c r="T56" s="70" t="str">
        <f>Elaborazione!$M$115</f>
        <v>W</v>
      </c>
    </row>
    <row r="57" spans="1:20">
      <c r="A57" s="67" t="s">
        <v>306</v>
      </c>
      <c r="B57" s="67"/>
      <c r="C57" s="67"/>
      <c r="D57" s="67"/>
      <c r="E57" s="67"/>
      <c r="F57" s="73"/>
      <c r="G57" s="45"/>
      <c r="H57" s="36" t="s">
        <v>307</v>
      </c>
      <c r="I57" s="70" t="s">
        <v>304</v>
      </c>
      <c r="J57" s="70" t="s">
        <v>304</v>
      </c>
      <c r="K57" s="67"/>
      <c r="L57" s="67"/>
      <c r="M57" s="67"/>
      <c r="N57" s="67"/>
      <c r="O57" s="67"/>
      <c r="P57" s="67"/>
      <c r="Q57" s="45"/>
      <c r="R57" s="67"/>
      <c r="S57" s="70"/>
      <c r="T57" s="67"/>
    </row>
    <row r="58" spans="1:20">
      <c r="A58" s="67"/>
      <c r="B58" s="67"/>
      <c r="C58" s="67"/>
      <c r="D58" s="67"/>
      <c r="E58" s="67"/>
      <c r="F58" s="67"/>
      <c r="G58" s="45"/>
      <c r="H58" s="67"/>
      <c r="I58" s="67"/>
      <c r="J58" s="67"/>
      <c r="K58" s="67" t="s">
        <v>308</v>
      </c>
      <c r="L58" s="67"/>
      <c r="M58" s="67"/>
      <c r="N58" s="67"/>
      <c r="O58" s="67"/>
      <c r="P58" s="67"/>
      <c r="Q58" s="45"/>
      <c r="R58" s="70" t="str">
        <f>Elaborazione!$O$114</f>
        <v>Pfen</v>
      </c>
      <c r="S58" s="70">
        <f>Elaborazione!$O$116</f>
        <v>44.106799014172189</v>
      </c>
      <c r="T58" s="70" t="str">
        <f>Elaborazione!$O$115</f>
        <v>W</v>
      </c>
    </row>
    <row r="59" spans="1:20">
      <c r="A59" s="67" t="s">
        <v>309</v>
      </c>
      <c r="B59" s="67"/>
      <c r="C59" s="67"/>
      <c r="D59" s="67"/>
      <c r="E59" s="67"/>
      <c r="F59" s="73"/>
      <c r="G59" s="45"/>
      <c r="H59" s="70" t="str">
        <f>Elaborazione!$N$16</f>
        <v>R%</v>
      </c>
      <c r="I59" s="70">
        <f>Elaborazione!$N$18</f>
        <v>6.3</v>
      </c>
      <c r="J59" s="70" t="str">
        <f>Elaborazione!$N$17</f>
        <v>kV</v>
      </c>
      <c r="K59" s="67" t="s">
        <v>311</v>
      </c>
      <c r="L59" s="67"/>
      <c r="M59" s="67"/>
      <c r="N59" s="67"/>
      <c r="O59" s="67"/>
      <c r="P59" s="67"/>
      <c r="Q59" s="45"/>
      <c r="R59" s="70" t="str">
        <f>Elaborazione!$P$114</f>
        <v>Pfeg</v>
      </c>
      <c r="S59" s="70">
        <f>Elaborazione!$P$116</f>
        <v>35.10116787237817</v>
      </c>
      <c r="T59" s="70" t="str">
        <f>Elaborazione!$P$115</f>
        <v>W</v>
      </c>
    </row>
    <row r="60" spans="1:20">
      <c r="A60" s="67"/>
      <c r="B60" s="67"/>
      <c r="C60" s="67"/>
      <c r="D60" s="67"/>
      <c r="E60" s="67"/>
      <c r="F60" s="67"/>
      <c r="G60" s="45"/>
      <c r="H60" s="67"/>
      <c r="I60" s="67"/>
      <c r="J60" s="67"/>
      <c r="K60" s="67" t="s">
        <v>312</v>
      </c>
      <c r="L60" s="67"/>
      <c r="M60" s="67"/>
      <c r="N60" s="67"/>
      <c r="O60" s="67"/>
      <c r="P60" s="67"/>
      <c r="Q60" s="45"/>
      <c r="R60" s="70" t="str">
        <f>Elaborazione!$Q$114</f>
        <v>Pfe</v>
      </c>
      <c r="S60" s="70">
        <f>Elaborazione!$Q$116</f>
        <v>95.049560263860428</v>
      </c>
      <c r="T60" s="70" t="str">
        <f>Elaborazione!$Q$115</f>
        <v>W</v>
      </c>
    </row>
    <row r="61" spans="1:20">
      <c r="A61" s="67" t="s">
        <v>313</v>
      </c>
      <c r="B61" s="67"/>
      <c r="C61" s="67"/>
      <c r="D61" s="67"/>
      <c r="E61" s="67"/>
      <c r="F61" s="67"/>
      <c r="G61" s="45"/>
      <c r="H61" s="70" t="str">
        <f>Elaborazione!$F$4</f>
        <v>∆₁</v>
      </c>
      <c r="I61" s="70">
        <f>Elaborazione!$F$6</f>
        <v>3.7</v>
      </c>
      <c r="J61" s="70" t="str">
        <f>Elaborazione!$F$5</f>
        <v>A/mm²</v>
      </c>
      <c r="K61" s="67"/>
      <c r="L61" s="67"/>
      <c r="M61" s="67"/>
      <c r="N61" s="67"/>
      <c r="O61" s="67"/>
      <c r="P61" s="67"/>
      <c r="Q61" s="45"/>
      <c r="R61" s="67"/>
      <c r="S61" s="70"/>
      <c r="T61" s="67"/>
    </row>
    <row r="62" spans="1:20">
      <c r="A62" s="67" t="s">
        <v>314</v>
      </c>
      <c r="B62" s="67"/>
      <c r="C62" s="67"/>
      <c r="D62" s="67"/>
      <c r="E62" s="67"/>
      <c r="F62" s="67"/>
      <c r="G62" s="45"/>
      <c r="H62" s="70" t="str">
        <f>Elaborazione!$G$4</f>
        <v>∆₂</v>
      </c>
      <c r="I62" s="70">
        <f>Elaborazione!$G$6</f>
        <v>3.8</v>
      </c>
      <c r="J62" s="70" t="str">
        <f>Elaborazione!$G$5</f>
        <v>A/mm²</v>
      </c>
      <c r="K62" s="67" t="s">
        <v>315</v>
      </c>
      <c r="L62" s="67"/>
      <c r="M62" s="67"/>
      <c r="N62" s="67"/>
      <c r="O62" s="67"/>
      <c r="P62" s="67"/>
      <c r="Q62" s="45"/>
      <c r="R62" s="67" t="str">
        <f>Elaborazione!$S$114</f>
        <v>Pcu/Pfe</v>
      </c>
      <c r="S62" s="70">
        <f>Elaborazione!$S$116</f>
        <v>4.1351308441351255</v>
      </c>
      <c r="T62" s="70" t="s">
        <v>304</v>
      </c>
    </row>
    <row r="63" spans="1:20">
      <c r="A63" s="67"/>
      <c r="B63" s="67"/>
      <c r="C63" s="67"/>
      <c r="D63" s="67"/>
      <c r="E63" s="67"/>
      <c r="F63" s="67"/>
      <c r="G63" s="45"/>
      <c r="H63" s="67"/>
      <c r="I63" s="67"/>
      <c r="J63" s="67"/>
      <c r="K63" s="67"/>
      <c r="L63" s="67"/>
      <c r="M63" s="67"/>
      <c r="N63" s="67"/>
      <c r="O63" s="67"/>
      <c r="P63" s="67"/>
      <c r="Q63" s="45"/>
      <c r="R63" s="67"/>
      <c r="S63" s="70"/>
      <c r="T63" s="67"/>
    </row>
    <row r="64" spans="1:20">
      <c r="A64" s="67" t="s">
        <v>316</v>
      </c>
      <c r="B64" s="67"/>
      <c r="C64" s="67"/>
      <c r="D64" s="67"/>
      <c r="E64" s="67"/>
      <c r="F64" s="67"/>
      <c r="G64" s="45"/>
      <c r="H64" s="70" t="str">
        <f>Elaborazione!$L$4</f>
        <v>Bn</v>
      </c>
      <c r="I64" s="70">
        <f>Elaborazione!$L$6</f>
        <v>2.5</v>
      </c>
      <c r="J64" s="70" t="str">
        <f>Elaborazione!$L$5</f>
        <v>T</v>
      </c>
      <c r="K64" s="67" t="s">
        <v>317</v>
      </c>
      <c r="L64" s="67"/>
      <c r="M64" s="67"/>
      <c r="N64" s="67"/>
      <c r="O64" s="67"/>
      <c r="P64" s="67"/>
      <c r="Q64" s="45"/>
      <c r="R64" s="70" t="str">
        <f>Elaborazione!$E$121</f>
        <v>Nim</v>
      </c>
      <c r="S64" s="70">
        <f>Elaborazione!$E$123</f>
        <v>170.0227302422166</v>
      </c>
      <c r="T64" s="70" t="str">
        <f>Elaborazione!$E$122</f>
        <v>Asp</v>
      </c>
    </row>
    <row r="65" spans="1:20">
      <c r="A65" s="67" t="s">
        <v>318</v>
      </c>
      <c r="B65" s="67"/>
      <c r="C65" s="67"/>
      <c r="D65" s="67"/>
      <c r="E65" s="67"/>
      <c r="F65" s="67"/>
      <c r="G65" s="45"/>
      <c r="H65" s="70" t="str">
        <f>Elaborazione!$K$4</f>
        <v>tipo lam</v>
      </c>
      <c r="I65" s="70">
        <f>Elaborazione!$K$6</f>
        <v>0.8</v>
      </c>
      <c r="J65" s="70" t="str">
        <f>Elaborazione!$K$5</f>
        <v>W/Kg</v>
      </c>
      <c r="K65" s="67"/>
      <c r="L65" s="67"/>
      <c r="M65" s="67"/>
      <c r="N65" s="67"/>
      <c r="O65" s="67"/>
      <c r="P65" s="67"/>
      <c r="Q65" s="45"/>
      <c r="R65" s="67"/>
      <c r="S65" s="70"/>
      <c r="T65" s="67"/>
    </row>
    <row r="66" spans="1:20">
      <c r="A66" s="67" t="s">
        <v>319</v>
      </c>
      <c r="B66" s="67"/>
      <c r="C66" s="67"/>
      <c r="D66" s="67"/>
      <c r="E66" s="67"/>
      <c r="F66" s="67"/>
      <c r="G66" s="45"/>
      <c r="H66" s="70" t="str">
        <f>Elaborazione!$I$4</f>
        <v>n.gradini</v>
      </c>
      <c r="I66" s="70">
        <f>Elaborazione!$I$6</f>
        <v>3</v>
      </c>
      <c r="J66" s="70" t="s">
        <v>304</v>
      </c>
      <c r="K66" s="67" t="s">
        <v>254</v>
      </c>
      <c r="L66" s="67"/>
      <c r="M66" s="67"/>
      <c r="N66" s="67"/>
      <c r="O66" s="67"/>
      <c r="P66" s="67"/>
      <c r="Q66" s="45"/>
      <c r="R66" s="70" t="str">
        <f>Elaborazione!$I$121</f>
        <v>I₀</v>
      </c>
      <c r="S66" s="70">
        <f>Elaborazione!$I$123</f>
        <v>7.3079630873411267E-2</v>
      </c>
      <c r="T66" s="70" t="str">
        <f>Elaborazione!$I$122</f>
        <v>A</v>
      </c>
    </row>
    <row r="67" spans="1:20">
      <c r="A67" s="67" t="s">
        <v>320</v>
      </c>
      <c r="B67" s="67"/>
      <c r="C67" s="67"/>
      <c r="D67" s="67"/>
      <c r="E67" s="67"/>
      <c r="F67" s="67"/>
      <c r="G67" s="45"/>
      <c r="H67" s="70" t="str">
        <f>Elaborazione!$O$4</f>
        <v>Ks</v>
      </c>
      <c r="I67" s="70">
        <f>Elaborazione!$O$6</f>
        <v>0.92500000000000004</v>
      </c>
      <c r="J67" s="70" t="s">
        <v>304</v>
      </c>
      <c r="K67" s="67" t="s">
        <v>321</v>
      </c>
      <c r="L67" s="67"/>
      <c r="M67" s="67"/>
      <c r="N67" s="67"/>
      <c r="O67" s="67"/>
      <c r="P67" s="67"/>
      <c r="Q67" s="45"/>
      <c r="R67" s="70" t="str">
        <f>Elaborazione!$J$121</f>
        <v>I₀%</v>
      </c>
      <c r="S67" s="70">
        <f>Elaborazione!$J$123</f>
        <v>2.6308667114428057</v>
      </c>
      <c r="T67" s="70" t="str">
        <f>Elaborazione!$J$122</f>
        <v>%</v>
      </c>
    </row>
    <row r="68" spans="1:20">
      <c r="A68" s="67" t="s">
        <v>322</v>
      </c>
      <c r="B68" s="67"/>
      <c r="C68" s="67"/>
      <c r="D68" s="67"/>
      <c r="E68" s="67"/>
      <c r="F68" s="67"/>
      <c r="G68" s="45"/>
      <c r="H68" s="70" t="str">
        <f>Elaborazione!$H$4</f>
        <v>Aassiale</v>
      </c>
      <c r="I68" s="70">
        <f>Elaborazione!$H$6</f>
        <v>170</v>
      </c>
      <c r="J68" s="70" t="str">
        <f>Elaborazione!$H$5</f>
        <v>As/cm</v>
      </c>
      <c r="K68" s="67"/>
      <c r="L68" s="67"/>
      <c r="M68" s="67"/>
      <c r="N68" s="67"/>
      <c r="O68" s="67"/>
      <c r="P68" s="67"/>
      <c r="Q68" s="45"/>
      <c r="R68" s="67"/>
      <c r="S68" s="70"/>
      <c r="T68" s="67"/>
    </row>
    <row r="69" spans="1:20">
      <c r="A69" s="67"/>
      <c r="B69" s="67"/>
      <c r="C69" s="67"/>
      <c r="D69" s="67"/>
      <c r="E69" s="67"/>
      <c r="F69" s="67"/>
      <c r="G69" s="45"/>
      <c r="H69" s="67"/>
      <c r="I69" s="67"/>
      <c r="J69" s="67"/>
      <c r="K69" s="67" t="s">
        <v>323</v>
      </c>
      <c r="L69" s="67"/>
      <c r="M69" s="67"/>
      <c r="N69" s="67"/>
      <c r="O69" s="67"/>
      <c r="P69" s="67"/>
      <c r="Q69" s="45"/>
      <c r="R69" s="70" t="str">
        <f>Elaborazione!$L$121</f>
        <v>cos ϕ₀</v>
      </c>
      <c r="S69" s="70">
        <f>Elaborazione!$L$123</f>
        <v>0.12515318005129972</v>
      </c>
      <c r="T69" s="70" t="s">
        <v>304</v>
      </c>
    </row>
    <row r="70" spans="1:20">
      <c r="A70" s="67" t="s">
        <v>324</v>
      </c>
      <c r="B70" s="67"/>
      <c r="C70" s="67"/>
      <c r="D70" s="67"/>
      <c r="E70" s="67"/>
      <c r="F70" s="70"/>
      <c r="G70" s="45"/>
      <c r="H70" s="70" t="str">
        <f>Elaborazione!$J$139</f>
        <v>ϑ°cu</v>
      </c>
      <c r="I70" s="70">
        <f>Elaborazione!$J$141</f>
        <v>19.264717170045738</v>
      </c>
      <c r="J70" s="70" t="s">
        <v>98</v>
      </c>
      <c r="K70" s="132" t="str">
        <f>CONCATENATE("Rendimento a",Elaborazione!$M$124)</f>
        <v>Rendimento acos ϕ = 1</v>
      </c>
      <c r="L70" s="67"/>
      <c r="M70" s="67"/>
      <c r="N70" s="67"/>
      <c r="P70" s="67"/>
      <c r="Q70" s="67"/>
      <c r="R70" s="70" t="str">
        <f>Elaborazione!$M$121</f>
        <v>ƞ</v>
      </c>
      <c r="S70" s="70">
        <f>Elaborazione!$M$123</f>
        <v>99.03325336730417</v>
      </c>
      <c r="T70" s="70" t="str">
        <f>Elaborazione!$M$122</f>
        <v>%</v>
      </c>
    </row>
    <row r="71" spans="1:20">
      <c r="A71" s="67" t="s">
        <v>325</v>
      </c>
      <c r="B71" s="67"/>
      <c r="C71" s="67"/>
      <c r="D71" s="67"/>
      <c r="E71" s="67"/>
      <c r="F71" s="70"/>
      <c r="G71" s="45"/>
      <c r="H71" s="70" t="s">
        <v>326</v>
      </c>
      <c r="I71" s="70"/>
      <c r="J71" s="70" t="s">
        <v>98</v>
      </c>
      <c r="K71" s="67"/>
      <c r="L71" s="67"/>
      <c r="M71" s="67"/>
      <c r="N71" s="67"/>
      <c r="O71" s="67"/>
      <c r="P71" s="67"/>
      <c r="Q71" s="45"/>
      <c r="R71" s="67"/>
      <c r="S71" s="67"/>
      <c r="T71" s="67"/>
    </row>
    <row r="72" spans="1:20">
      <c r="A72" s="67"/>
      <c r="B72" s="67"/>
      <c r="C72" s="67"/>
      <c r="D72" s="67"/>
      <c r="E72" s="67"/>
      <c r="F72" s="67"/>
      <c r="G72" s="45"/>
      <c r="H72" s="67"/>
      <c r="I72" s="67"/>
      <c r="J72" s="67"/>
      <c r="K72" s="65" t="s">
        <v>223</v>
      </c>
      <c r="L72" s="64"/>
      <c r="M72" s="64"/>
      <c r="N72" s="64"/>
      <c r="O72" s="64"/>
      <c r="P72" s="64"/>
      <c r="Q72" s="64"/>
      <c r="R72" s="64"/>
      <c r="S72" s="64"/>
      <c r="T72" s="64"/>
    </row>
    <row r="73" spans="1:20">
      <c r="A73" s="67" t="s">
        <v>327</v>
      </c>
      <c r="B73" s="67"/>
      <c r="C73" s="67"/>
      <c r="D73" s="67"/>
      <c r="E73" s="67"/>
      <c r="F73" s="67"/>
      <c r="G73" s="45"/>
      <c r="H73" s="70" t="str">
        <f>Elaborazione!$E$4</f>
        <v>C</v>
      </c>
      <c r="I73" s="70">
        <f>Elaborazione!$E$6</f>
        <v>1</v>
      </c>
      <c r="J73" s="70" t="s">
        <v>304</v>
      </c>
      <c r="K73" s="67"/>
      <c r="L73" s="67"/>
      <c r="M73" s="67"/>
      <c r="N73" s="67"/>
      <c r="O73" s="67"/>
      <c r="P73" s="67"/>
      <c r="Q73" s="45"/>
      <c r="R73" s="67"/>
      <c r="S73" s="67"/>
      <c r="T73" s="67"/>
    </row>
    <row r="74" spans="1:20">
      <c r="A74" s="67" t="s">
        <v>39</v>
      </c>
      <c r="B74" s="67"/>
      <c r="C74" s="67"/>
      <c r="D74" s="67"/>
      <c r="E74" s="67"/>
      <c r="F74" s="67"/>
      <c r="G74" s="45"/>
      <c r="H74" s="70" t="str">
        <f>Elaborazione!$M$4</f>
        <v>Cp</v>
      </c>
      <c r="I74" s="70">
        <f>Elaborazione!$M$6</f>
        <v>0.7</v>
      </c>
      <c r="J74" s="70" t="str">
        <f>Elaborazione!$M$5</f>
        <v>W/Kg</v>
      </c>
      <c r="K74" s="69" t="s">
        <v>277</v>
      </c>
      <c r="L74" s="67"/>
      <c r="M74" s="67"/>
      <c r="N74" s="67"/>
      <c r="O74" s="67"/>
      <c r="P74" s="67"/>
      <c r="Q74" s="45"/>
      <c r="R74" s="35" t="s">
        <v>278</v>
      </c>
      <c r="S74" s="35" t="s">
        <v>279</v>
      </c>
      <c r="T74" s="35" t="s">
        <v>280</v>
      </c>
    </row>
    <row r="75" spans="1:20">
      <c r="A75" s="67" t="s">
        <v>328</v>
      </c>
      <c r="B75" s="67"/>
      <c r="C75" s="67"/>
      <c r="D75" s="67"/>
      <c r="E75" s="67"/>
      <c r="F75" s="67"/>
      <c r="G75" s="45"/>
      <c r="H75" s="70" t="str">
        <f>Elaborazione!$N$4</f>
        <v>Kt</v>
      </c>
      <c r="I75" s="70">
        <f>Elaborazione!$N$6</f>
        <v>20</v>
      </c>
      <c r="J75" s="70" t="str">
        <f>Elaborazione!$N$5</f>
        <v>°C</v>
      </c>
      <c r="K75" s="67" t="s">
        <v>329</v>
      </c>
      <c r="L75" s="67"/>
      <c r="M75" s="67"/>
      <c r="N75" s="67"/>
      <c r="O75" s="67"/>
      <c r="P75" s="67"/>
      <c r="Q75" s="45"/>
      <c r="R75" s="70" t="str">
        <f>Elaborazione!$D$131</f>
        <v>X"</v>
      </c>
      <c r="S75" s="70">
        <f>Elaborazione!$D$133</f>
        <v>5.2318918289756107E-2</v>
      </c>
      <c r="T75" s="70" t="str">
        <f>Elaborazione!$D$132</f>
        <v>Ω</v>
      </c>
    </row>
    <row r="76" spans="1:20">
      <c r="A76" s="67"/>
      <c r="B76" s="67"/>
      <c r="C76" s="67"/>
      <c r="D76" s="67"/>
      <c r="E76" s="67"/>
      <c r="F76" s="67"/>
      <c r="G76" s="45"/>
      <c r="H76" s="67"/>
      <c r="I76" s="67"/>
      <c r="J76" s="67"/>
      <c r="K76" s="67" t="s">
        <v>330</v>
      </c>
      <c r="L76" s="67"/>
      <c r="M76" s="67"/>
      <c r="N76" s="67"/>
      <c r="O76" s="67"/>
      <c r="P76" s="67"/>
      <c r="Q76" s="45"/>
      <c r="R76" s="70" t="str">
        <f>Elaborazione!$G$131</f>
        <v>R"</v>
      </c>
      <c r="S76" s="70">
        <f>Elaborazione!$G$133</f>
        <v>1.0347694143431792</v>
      </c>
      <c r="T76" s="70" t="str">
        <f>Elaborazione!$G$132</f>
        <v>Ω</v>
      </c>
    </row>
    <row r="77" spans="1:20">
      <c r="A77" s="67" t="s">
        <v>331</v>
      </c>
      <c r="B77" s="67"/>
      <c r="C77" s="67"/>
      <c r="D77" s="67"/>
      <c r="E77" s="67"/>
      <c r="F77" s="67"/>
      <c r="G77" s="45"/>
      <c r="H77" s="70" t="str">
        <f>Elaborazione!$P$4</f>
        <v>Isol/B.T.</v>
      </c>
      <c r="I77" s="70">
        <f>Elaborazione!$P$6</f>
        <v>0.3</v>
      </c>
      <c r="J77" s="70" t="str">
        <f>Elaborazione!$P$5</f>
        <v>mm</v>
      </c>
      <c r="K77" s="67"/>
      <c r="L77" s="67"/>
      <c r="M77" s="67"/>
      <c r="N77" s="67"/>
      <c r="O77" s="67"/>
      <c r="P77" s="67"/>
      <c r="Q77" s="45"/>
      <c r="R77" s="67"/>
      <c r="S77" s="70"/>
      <c r="T77" s="67"/>
    </row>
    <row r="78" spans="1:20">
      <c r="A78" s="67" t="s">
        <v>332</v>
      </c>
      <c r="B78" s="67"/>
      <c r="C78" s="67"/>
      <c r="D78" s="67"/>
      <c r="E78" s="67"/>
      <c r="F78" s="67"/>
      <c r="G78" s="45"/>
      <c r="H78" s="70" t="str">
        <f>Elaborazione!$Q$4</f>
        <v>δ₂</v>
      </c>
      <c r="I78" s="70">
        <f>Elaborazione!$Q$6</f>
        <v>4</v>
      </c>
      <c r="J78" s="70" t="str">
        <f>Elaborazione!$Q$5</f>
        <v>mm</v>
      </c>
      <c r="K78" s="67" t="s">
        <v>333</v>
      </c>
      <c r="L78" s="67"/>
      <c r="M78" s="67"/>
      <c r="N78" s="67"/>
      <c r="O78" s="67"/>
      <c r="P78" s="67"/>
      <c r="Q78" s="45"/>
      <c r="R78" s="70" t="str">
        <f>Elaborazione!$H$131</f>
        <v>∆V%</v>
      </c>
      <c r="S78" s="70">
        <f>Elaborazione!$H$133</f>
        <v>2.3088386457547045</v>
      </c>
      <c r="T78" s="70" t="str">
        <f>Elaborazione!$H$132</f>
        <v>%</v>
      </c>
    </row>
    <row r="79" spans="1:20">
      <c r="A79" s="67"/>
      <c r="B79" s="67"/>
      <c r="C79" s="67"/>
      <c r="D79" s="67"/>
      <c r="E79" s="67"/>
      <c r="F79" s="67"/>
      <c r="G79" s="45"/>
      <c r="H79" s="67"/>
      <c r="I79" s="67"/>
      <c r="J79" s="67"/>
      <c r="K79" s="67" t="s">
        <v>334</v>
      </c>
      <c r="L79" s="67"/>
      <c r="M79" s="67"/>
      <c r="N79" s="67"/>
      <c r="O79" s="67"/>
      <c r="P79" s="67"/>
      <c r="Q79" s="45"/>
      <c r="R79" s="70" t="str">
        <f>Elaborazione!$I$131</f>
        <v>Ucc%</v>
      </c>
      <c r="S79" s="70">
        <f>Elaborazione!$I$133</f>
        <v>1.9728267523365037</v>
      </c>
      <c r="T79" s="70" t="str">
        <f>Elaborazione!$I$132</f>
        <v>%</v>
      </c>
    </row>
    <row r="80" spans="1:20">
      <c r="A80" s="67" t="s">
        <v>335</v>
      </c>
      <c r="B80" s="67"/>
      <c r="C80" s="67"/>
      <c r="D80" s="67"/>
      <c r="E80" s="67"/>
      <c r="F80" s="73"/>
      <c r="G80" s="45"/>
      <c r="H80" s="70" t="s">
        <v>336</v>
      </c>
      <c r="I80" s="70" t="s">
        <v>304</v>
      </c>
      <c r="J80" s="70" t="s">
        <v>304</v>
      </c>
      <c r="K80" s="67" t="s">
        <v>337</v>
      </c>
      <c r="L80" s="67"/>
      <c r="M80" s="67"/>
      <c r="N80" s="67"/>
      <c r="O80" s="67"/>
      <c r="P80" s="67"/>
      <c r="Q80" s="45"/>
      <c r="R80" s="36" t="s">
        <v>304</v>
      </c>
      <c r="S80" s="36" t="s">
        <v>304</v>
      </c>
      <c r="T80" s="36" t="s">
        <v>304</v>
      </c>
    </row>
    <row r="81" spans="1:20">
      <c r="A81" s="67" t="s">
        <v>338</v>
      </c>
      <c r="B81" s="67"/>
      <c r="C81" s="67"/>
      <c r="D81" s="67"/>
      <c r="E81" s="67"/>
      <c r="F81" s="73"/>
      <c r="G81" s="45"/>
      <c r="H81" s="73" t="s">
        <v>339</v>
      </c>
      <c r="I81" s="70" t="s">
        <v>304</v>
      </c>
      <c r="J81" s="70" t="s">
        <v>304</v>
      </c>
      <c r="K81" s="67" t="s">
        <v>340</v>
      </c>
      <c r="L81" s="67"/>
      <c r="M81" s="67"/>
      <c r="N81" s="67"/>
      <c r="O81" s="67"/>
      <c r="P81" s="67"/>
      <c r="Q81" s="45"/>
      <c r="R81" s="70" t="str">
        <f>Elaborazione!$L$131</f>
        <v>cos ϕcc</v>
      </c>
      <c r="S81" s="70">
        <f>Elaborazione!$L$133</f>
        <v>0.39845604070714535</v>
      </c>
      <c r="T81" s="36" t="s">
        <v>304</v>
      </c>
    </row>
    <row r="82" spans="1:20">
      <c r="A82" s="67" t="s">
        <v>341</v>
      </c>
      <c r="B82" s="67"/>
      <c r="C82" s="67"/>
      <c r="D82" s="67"/>
      <c r="E82" s="67"/>
      <c r="F82" s="73"/>
      <c r="G82" s="45"/>
      <c r="H82" s="73" t="s">
        <v>342</v>
      </c>
      <c r="I82" s="70" t="s">
        <v>304</v>
      </c>
      <c r="J82" s="36" t="s">
        <v>304</v>
      </c>
      <c r="K82" s="67"/>
      <c r="L82" s="67"/>
      <c r="M82" s="67"/>
      <c r="N82" s="67"/>
      <c r="O82" s="67"/>
      <c r="P82" s="67"/>
      <c r="Q82" s="45"/>
      <c r="R82" s="67"/>
      <c r="S82" s="67"/>
      <c r="T82" s="67"/>
    </row>
    <row r="83" spans="1:20">
      <c r="A83" s="73"/>
      <c r="B83" s="73"/>
      <c r="C83" s="73"/>
      <c r="D83" s="73"/>
      <c r="E83" s="73"/>
      <c r="F83" s="73"/>
      <c r="G83" s="45"/>
      <c r="H83" s="73"/>
      <c r="I83" s="73"/>
      <c r="J83" s="73"/>
      <c r="K83" s="65" t="s">
        <v>234</v>
      </c>
      <c r="L83" s="64"/>
      <c r="M83" s="64"/>
      <c r="N83" s="64"/>
      <c r="O83" s="64"/>
      <c r="P83" s="64"/>
      <c r="Q83" s="64"/>
      <c r="R83" s="64"/>
      <c r="S83" s="64"/>
      <c r="T83" s="64"/>
    </row>
    <row r="84" spans="1:20">
      <c r="A84" s="73"/>
      <c r="B84" s="73"/>
      <c r="C84" s="73"/>
      <c r="D84" s="73"/>
      <c r="E84" s="73"/>
      <c r="F84" s="73"/>
      <c r="G84" s="45"/>
      <c r="H84" s="73"/>
      <c r="I84" s="73"/>
      <c r="J84" s="73"/>
      <c r="K84" s="67"/>
      <c r="L84" s="67"/>
      <c r="M84" s="67"/>
      <c r="N84" s="67"/>
      <c r="O84" s="67"/>
      <c r="P84" s="67"/>
      <c r="Q84" s="45"/>
      <c r="R84" s="67"/>
      <c r="S84" s="67"/>
      <c r="T84" s="67"/>
    </row>
    <row r="85" spans="1:20">
      <c r="A85" s="73"/>
      <c r="B85" s="73"/>
      <c r="C85" s="73"/>
      <c r="D85" s="73"/>
      <c r="E85" s="73"/>
      <c r="F85" s="73"/>
      <c r="G85" s="45"/>
      <c r="H85" s="73"/>
      <c r="I85" s="73"/>
      <c r="J85" s="73"/>
      <c r="K85" s="69" t="s">
        <v>277</v>
      </c>
      <c r="L85" s="67"/>
      <c r="M85" s="67"/>
      <c r="N85" s="67"/>
      <c r="O85" s="67"/>
      <c r="P85" s="67"/>
      <c r="Q85" s="45"/>
      <c r="R85" s="35" t="s">
        <v>278</v>
      </c>
      <c r="S85" s="35" t="s">
        <v>279</v>
      </c>
      <c r="T85" s="35" t="s">
        <v>280</v>
      </c>
    </row>
    <row r="86" spans="1:20">
      <c r="A86" s="67"/>
      <c r="B86" s="67"/>
      <c r="C86" s="67"/>
      <c r="D86" s="67"/>
      <c r="E86" s="67"/>
      <c r="F86" s="67"/>
      <c r="G86" s="67"/>
      <c r="H86" s="67"/>
      <c r="I86" s="67"/>
      <c r="J86" s="45"/>
      <c r="K86" s="67" t="s">
        <v>343</v>
      </c>
      <c r="L86" s="67"/>
      <c r="M86" s="67"/>
      <c r="N86" s="67"/>
      <c r="O86" s="67"/>
      <c r="P86" s="67"/>
      <c r="Q86" s="45"/>
      <c r="R86" s="70" t="str">
        <f>Elaborazione!$E$139</f>
        <v>ϑ°fe</v>
      </c>
      <c r="S86" s="70">
        <f>Elaborazione!$E$141</f>
        <v>1.0519739758810831</v>
      </c>
      <c r="T86" s="70" t="str">
        <f>Elaborazione!$E$140</f>
        <v>°C</v>
      </c>
    </row>
    <row r="87" spans="1:20">
      <c r="A87" s="67"/>
      <c r="B87" s="67"/>
      <c r="C87" s="67"/>
      <c r="D87" s="67"/>
      <c r="E87" s="67"/>
      <c r="F87" s="67"/>
      <c r="G87" s="67"/>
      <c r="H87" s="67"/>
      <c r="I87" s="67"/>
      <c r="J87" s="45"/>
      <c r="K87" s="67" t="s">
        <v>344</v>
      </c>
      <c r="L87" s="67"/>
      <c r="M87" s="67"/>
      <c r="N87" s="67"/>
      <c r="O87" s="67"/>
      <c r="P87" s="67"/>
      <c r="Q87" s="45"/>
      <c r="R87" s="70" t="str">
        <f>Elaborazione!$H$139</f>
        <v>ϑ°cu₁</v>
      </c>
      <c r="S87" s="70">
        <f>Elaborazione!$H$141</f>
        <v>1.0739000071498197</v>
      </c>
      <c r="T87" s="70" t="str">
        <f>Elaborazione!$H$140</f>
        <v>°C</v>
      </c>
    </row>
    <row r="88" spans="1:20">
      <c r="A88" s="67"/>
      <c r="B88" s="67"/>
      <c r="C88" s="67"/>
      <c r="D88" s="67"/>
      <c r="E88" s="67"/>
      <c r="F88" s="67"/>
      <c r="G88" s="67"/>
      <c r="H88" s="67"/>
      <c r="I88" s="67"/>
      <c r="J88" s="45"/>
      <c r="K88" s="67" t="s">
        <v>345</v>
      </c>
      <c r="L88" s="67"/>
      <c r="M88" s="67"/>
      <c r="N88" s="67"/>
      <c r="O88" s="67"/>
      <c r="P88" s="67"/>
      <c r="Q88" s="45"/>
      <c r="R88" s="70" t="str">
        <f>Elaborazione!$I$139</f>
        <v>ϑ°cu₂</v>
      </c>
      <c r="S88" s="70">
        <f>Elaborazione!$I$141</f>
        <v>37.45553433294166</v>
      </c>
      <c r="T88" s="70" t="str">
        <f>Elaborazione!$I$140</f>
        <v>°C</v>
      </c>
    </row>
    <row r="89" spans="1:20">
      <c r="A89" s="67"/>
      <c r="B89" s="67"/>
      <c r="C89" s="67"/>
      <c r="D89" s="67"/>
      <c r="E89" s="67"/>
      <c r="F89" s="67"/>
      <c r="G89" s="67"/>
      <c r="H89" s="67"/>
      <c r="I89" s="67"/>
      <c r="J89" s="45"/>
      <c r="K89" s="67"/>
      <c r="L89" s="67"/>
      <c r="M89" s="67"/>
      <c r="N89" s="67"/>
      <c r="O89" s="67"/>
      <c r="P89" s="67"/>
      <c r="Q89" s="45"/>
      <c r="R89" s="67"/>
      <c r="S89" s="70"/>
      <c r="T89" s="67"/>
    </row>
    <row r="90" spans="1:20">
      <c r="A90" s="67"/>
      <c r="B90" s="67"/>
      <c r="C90" s="67"/>
      <c r="D90" s="67"/>
      <c r="E90" s="67"/>
      <c r="F90" s="67"/>
      <c r="G90" s="67"/>
      <c r="H90" s="67"/>
      <c r="I90" s="67"/>
      <c r="J90" s="45"/>
      <c r="K90" s="67" t="s">
        <v>324</v>
      </c>
      <c r="L90" s="67"/>
      <c r="M90" s="67"/>
      <c r="N90" s="67"/>
      <c r="O90" s="67"/>
      <c r="P90" s="67"/>
      <c r="Q90" s="45"/>
      <c r="R90" s="70" t="str">
        <f>Elaborazione!$J$139</f>
        <v>ϑ°cu</v>
      </c>
      <c r="S90" s="70">
        <f>Elaborazione!$J$141</f>
        <v>19.264717170045738</v>
      </c>
      <c r="T90" s="70" t="str">
        <f>Elaborazione!$J$140</f>
        <v>°C</v>
      </c>
    </row>
    <row r="91" spans="1:20">
      <c r="A91" s="67"/>
      <c r="B91" s="67"/>
      <c r="C91" s="67"/>
      <c r="D91" s="67"/>
      <c r="E91" s="67"/>
      <c r="F91" s="67"/>
      <c r="G91" s="67"/>
      <c r="H91" s="67"/>
      <c r="I91" s="67"/>
      <c r="J91" s="45"/>
      <c r="K91" s="67"/>
      <c r="L91" s="67"/>
      <c r="M91" s="67"/>
      <c r="N91" s="67"/>
      <c r="O91" s="67"/>
      <c r="P91" s="67"/>
      <c r="Q91" s="67"/>
      <c r="R91" s="67"/>
      <c r="S91" s="67"/>
      <c r="T91" s="45"/>
    </row>
    <row r="92" spans="1:20">
      <c r="A92" s="67"/>
      <c r="B92" s="67"/>
      <c r="C92" s="67"/>
      <c r="D92" s="67"/>
      <c r="E92" s="67"/>
      <c r="F92" s="67"/>
      <c r="G92" s="67"/>
      <c r="H92" s="67"/>
      <c r="I92" s="67"/>
      <c r="J92" s="45"/>
      <c r="K92" s="67"/>
      <c r="L92" s="67"/>
      <c r="M92" s="67"/>
      <c r="N92" s="67"/>
      <c r="O92" s="67"/>
      <c r="P92" s="67"/>
      <c r="Q92" s="67"/>
      <c r="R92" s="67"/>
      <c r="S92" s="67"/>
      <c r="T92" s="45"/>
    </row>
    <row r="93" spans="1:20">
      <c r="A93" s="67"/>
      <c r="B93" s="67"/>
      <c r="C93" s="67"/>
      <c r="D93" s="67"/>
      <c r="E93" s="67"/>
      <c r="F93" s="67"/>
      <c r="G93" s="67"/>
      <c r="H93" s="67"/>
      <c r="I93" s="67"/>
      <c r="J93" s="45"/>
      <c r="K93" s="67"/>
      <c r="L93" s="67"/>
      <c r="M93" s="67"/>
      <c r="N93" s="67"/>
      <c r="O93" s="67"/>
      <c r="P93" s="67"/>
      <c r="Q93" s="67"/>
      <c r="R93" s="67"/>
      <c r="S93" s="67"/>
      <c r="T93" s="45"/>
    </row>
    <row r="94" spans="1:20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</row>
    <row r="95" spans="1:20">
      <c r="A95" s="65" t="s">
        <v>99</v>
      </c>
      <c r="B95" s="64"/>
      <c r="C95" s="64"/>
      <c r="D95" s="64"/>
      <c r="E95" s="64"/>
      <c r="F95" s="64"/>
      <c r="G95" s="64"/>
      <c r="H95" s="64"/>
      <c r="I95" s="64"/>
      <c r="J95" s="66" t="s">
        <v>346</v>
      </c>
      <c r="K95" s="65" t="s">
        <v>347</v>
      </c>
      <c r="L95" s="64"/>
      <c r="M95" s="64"/>
      <c r="N95" s="64"/>
      <c r="O95" s="64"/>
      <c r="P95" s="64"/>
      <c r="Q95" s="64"/>
      <c r="R95" s="64"/>
      <c r="S95" s="64"/>
      <c r="T95" s="66" t="s">
        <v>348</v>
      </c>
    </row>
    <row r="96" spans="1:20">
      <c r="A96" s="67"/>
      <c r="B96" s="67"/>
      <c r="C96" s="67"/>
      <c r="D96" s="67"/>
      <c r="E96" s="67"/>
      <c r="F96" s="67"/>
      <c r="G96" s="67"/>
      <c r="H96" s="67"/>
      <c r="I96" s="67"/>
      <c r="J96" s="45"/>
      <c r="K96" s="67"/>
      <c r="L96" s="67"/>
      <c r="M96" s="67"/>
      <c r="N96" s="67"/>
      <c r="O96" s="67"/>
      <c r="P96" s="67"/>
      <c r="Q96" s="67"/>
      <c r="R96" s="67"/>
      <c r="S96" s="67"/>
      <c r="T96" s="45"/>
    </row>
    <row r="97" spans="1:20">
      <c r="A97" s="69" t="s">
        <v>277</v>
      </c>
      <c r="B97" s="67"/>
      <c r="C97" s="67"/>
      <c r="D97" s="67"/>
      <c r="E97" s="67"/>
      <c r="F97" s="67"/>
      <c r="G97" s="45"/>
      <c r="H97" s="35" t="s">
        <v>278</v>
      </c>
      <c r="I97" s="35" t="s">
        <v>279</v>
      </c>
      <c r="J97" s="35" t="s">
        <v>280</v>
      </c>
      <c r="K97" s="69" t="s">
        <v>277</v>
      </c>
      <c r="L97" s="67"/>
      <c r="M97" s="67"/>
      <c r="N97" s="67"/>
      <c r="O97" s="67"/>
      <c r="P97" s="67"/>
      <c r="Q97" s="45"/>
      <c r="R97" s="35" t="s">
        <v>278</v>
      </c>
      <c r="S97" s="35" t="s">
        <v>279</v>
      </c>
      <c r="T97" s="35" t="s">
        <v>280</v>
      </c>
    </row>
    <row r="98" spans="1:20">
      <c r="A98" s="67" t="s">
        <v>349</v>
      </c>
      <c r="B98" s="67"/>
      <c r="C98" s="67"/>
      <c r="D98" s="67"/>
      <c r="E98" s="67"/>
      <c r="F98" s="67"/>
      <c r="G98" s="45"/>
      <c r="H98" s="70" t="str">
        <f>Elaborazione!$C$16</f>
        <v>U₀₂</v>
      </c>
      <c r="I98" s="70">
        <f>Elaborazione!$C$18</f>
        <v>395.2</v>
      </c>
      <c r="J98" s="70" t="str">
        <f>Elaborazione!$C$17</f>
        <v>V</v>
      </c>
      <c r="K98" s="67" t="s">
        <v>350</v>
      </c>
      <c r="L98" s="67"/>
      <c r="M98" s="67"/>
      <c r="N98" s="67"/>
      <c r="O98" s="67"/>
      <c r="P98" s="67"/>
      <c r="Q98" s="45"/>
      <c r="R98" s="70" t="str">
        <f>Elaborazione!$C$157</f>
        <v>δ₃</v>
      </c>
      <c r="S98" s="70">
        <f>Elaborazione!$C$159</f>
        <v>20</v>
      </c>
      <c r="T98" s="70" t="str">
        <f>Elaborazione!$C$158</f>
        <v>mm</v>
      </c>
    </row>
    <row r="99" spans="1:20">
      <c r="A99" s="67" t="s">
        <v>351</v>
      </c>
      <c r="B99" s="67"/>
      <c r="C99" s="67"/>
      <c r="D99" s="67"/>
      <c r="E99" s="67"/>
      <c r="F99" s="67"/>
      <c r="G99" s="45"/>
      <c r="H99" s="70" t="str">
        <f>Elaborazione!$E$16</f>
        <v>I₀%max</v>
      </c>
      <c r="I99" s="70">
        <f>Elaborazione!$E$18</f>
        <v>3.7</v>
      </c>
      <c r="J99" s="70" t="str">
        <f>Elaborazione!$E$17</f>
        <v>%</v>
      </c>
      <c r="K99" s="67" t="s">
        <v>352</v>
      </c>
      <c r="L99" s="67"/>
      <c r="M99" s="67"/>
      <c r="N99" s="67"/>
      <c r="O99" s="67"/>
      <c r="P99" s="67"/>
      <c r="Q99" s="45"/>
      <c r="R99" s="70" t="str">
        <f>Elaborazione!$R$4</f>
        <v>δ₄</v>
      </c>
      <c r="S99" s="70">
        <f>Elaborazione!$R$6</f>
        <v>30</v>
      </c>
      <c r="T99" s="70" t="str">
        <f>Elaborazione!$R$5</f>
        <v>mm</v>
      </c>
    </row>
    <row r="100" spans="1:20">
      <c r="A100" s="67"/>
      <c r="B100" s="67"/>
      <c r="C100" s="67"/>
      <c r="D100" s="67"/>
      <c r="E100" s="67"/>
      <c r="F100" s="67"/>
      <c r="G100" s="45"/>
      <c r="H100" s="67"/>
      <c r="I100" s="70"/>
      <c r="J100" s="67"/>
      <c r="K100" s="45"/>
      <c r="L100" s="45"/>
      <c r="M100" s="45"/>
      <c r="N100" s="45"/>
      <c r="O100" s="45"/>
      <c r="P100" s="45"/>
      <c r="Q100" s="45"/>
      <c r="R100" s="45"/>
      <c r="S100" s="45"/>
      <c r="T100" s="45"/>
    </row>
    <row r="101" spans="1:20">
      <c r="A101" s="67" t="s">
        <v>353</v>
      </c>
      <c r="B101" s="67"/>
      <c r="C101" s="67"/>
      <c r="D101" s="67"/>
      <c r="E101" s="67"/>
      <c r="F101" s="67"/>
      <c r="G101" s="45"/>
      <c r="H101" s="70" t="str">
        <f>Elaborazione!$G$16</f>
        <v>I₁</v>
      </c>
      <c r="I101" s="70">
        <f>Elaborazione!$G$18</f>
        <v>2.7777777777777777</v>
      </c>
      <c r="J101" s="70" t="str">
        <f>Elaborazione!$G$17</f>
        <v>A</v>
      </c>
      <c r="K101" s="45"/>
      <c r="L101" s="45"/>
      <c r="M101" s="45"/>
      <c r="N101" s="45"/>
      <c r="O101" s="45"/>
      <c r="P101" s="45"/>
      <c r="Q101" s="45"/>
      <c r="R101" s="45"/>
      <c r="S101" s="45"/>
      <c r="T101" s="45"/>
    </row>
    <row r="102" spans="1:20">
      <c r="A102" s="67" t="s">
        <v>354</v>
      </c>
      <c r="B102" s="67"/>
      <c r="C102" s="67"/>
      <c r="D102" s="67"/>
      <c r="E102" s="67"/>
      <c r="F102" s="67"/>
      <c r="G102" s="45"/>
      <c r="H102" s="70" t="str">
        <f>Elaborazione!$H$16</f>
        <v>i₁</v>
      </c>
      <c r="I102" s="70">
        <f>Elaborazione!$H$18</f>
        <v>1.6037507477489605</v>
      </c>
      <c r="J102" s="70" t="str">
        <f>Elaborazione!$H$17</f>
        <v>A</v>
      </c>
      <c r="K102" s="74" t="s">
        <v>355</v>
      </c>
      <c r="L102" s="67"/>
      <c r="M102" s="67"/>
      <c r="N102" s="67"/>
      <c r="O102" s="67"/>
      <c r="P102" s="67"/>
      <c r="Q102" s="45"/>
      <c r="R102" s="70" t="str">
        <f>Elaborazione!$S$4</f>
        <v>btnt</v>
      </c>
      <c r="S102" s="70">
        <f>Elaborazione!$S$6</f>
        <v>300</v>
      </c>
      <c r="T102" s="70" t="str">
        <f>Elaborazione!$S$5</f>
        <v>mm</v>
      </c>
    </row>
    <row r="103" spans="1:20">
      <c r="A103" s="67"/>
      <c r="B103" s="67"/>
      <c r="C103" s="67"/>
      <c r="D103" s="67"/>
      <c r="E103" s="67"/>
      <c r="F103" s="67"/>
      <c r="G103" s="45"/>
      <c r="H103" s="67"/>
      <c r="I103" s="70"/>
      <c r="J103" s="67"/>
      <c r="K103" s="67" t="s">
        <v>356</v>
      </c>
      <c r="L103" s="67"/>
      <c r="M103" s="67"/>
      <c r="N103" s="67"/>
      <c r="O103" s="67"/>
      <c r="P103" s="67"/>
      <c r="Q103" s="45"/>
      <c r="R103" s="36" t="s">
        <v>304</v>
      </c>
      <c r="S103" s="36" t="s">
        <v>304</v>
      </c>
      <c r="T103" s="36" t="s">
        <v>304</v>
      </c>
    </row>
    <row r="104" spans="1:20">
      <c r="A104" s="67" t="s">
        <v>357</v>
      </c>
      <c r="B104" s="67"/>
      <c r="C104" s="67"/>
      <c r="D104" s="67"/>
      <c r="E104" s="67"/>
      <c r="F104" s="67"/>
      <c r="G104" s="45"/>
      <c r="H104" s="70" t="str">
        <f>Elaborazione!$I$16</f>
        <v>I₂</v>
      </c>
      <c r="I104" s="70">
        <f>Elaborazione!$I$18</f>
        <v>75.967140682845496</v>
      </c>
      <c r="J104" s="70" t="str">
        <f>Elaborazione!$I$17</f>
        <v>A</v>
      </c>
      <c r="K104" s="67"/>
      <c r="L104" s="67"/>
      <c r="M104" s="67"/>
      <c r="N104" s="67"/>
      <c r="O104" s="67"/>
      <c r="P104" s="67"/>
      <c r="Q104" s="45"/>
      <c r="R104" s="67"/>
      <c r="S104" s="70"/>
      <c r="T104" s="67"/>
    </row>
    <row r="105" spans="1:20">
      <c r="A105" s="67" t="s">
        <v>358</v>
      </c>
      <c r="B105" s="67"/>
      <c r="C105" s="67"/>
      <c r="D105" s="67"/>
      <c r="E105" s="67"/>
      <c r="F105" s="67"/>
      <c r="G105" s="45"/>
      <c r="H105" s="70" t="str">
        <f>Elaborazione!$J$16</f>
        <v>i₂</v>
      </c>
      <c r="I105" s="70">
        <f>Elaborazione!$J$18</f>
        <v>75.967140682845496</v>
      </c>
      <c r="J105" s="70" t="str">
        <f>Elaborazione!$J$17</f>
        <v>A</v>
      </c>
      <c r="K105" s="67"/>
      <c r="L105" s="67"/>
      <c r="M105" s="67"/>
      <c r="N105" s="67"/>
      <c r="O105" s="67"/>
      <c r="P105" s="67"/>
      <c r="Q105" s="45"/>
      <c r="R105" s="67"/>
      <c r="S105" s="70"/>
      <c r="T105" s="67"/>
    </row>
    <row r="106" spans="1:20">
      <c r="A106" s="67"/>
      <c r="B106" s="67"/>
      <c r="C106" s="67"/>
      <c r="D106" s="67"/>
      <c r="E106" s="67"/>
      <c r="F106" s="67"/>
      <c r="G106" s="45"/>
      <c r="H106" s="67"/>
      <c r="I106" s="70"/>
      <c r="J106" s="67"/>
      <c r="K106" s="67"/>
      <c r="L106" s="75" t="s">
        <v>359</v>
      </c>
      <c r="M106" s="67"/>
      <c r="N106" s="67"/>
      <c r="O106" s="67"/>
      <c r="P106" s="67"/>
      <c r="Q106" s="45"/>
      <c r="R106" s="67"/>
      <c r="S106" s="70"/>
      <c r="T106" s="67"/>
    </row>
    <row r="107" spans="1:20">
      <c r="A107" s="67" t="s">
        <v>360</v>
      </c>
      <c r="B107" s="67"/>
      <c r="C107" s="67"/>
      <c r="D107" s="67"/>
      <c r="E107" s="67"/>
      <c r="F107" s="70"/>
      <c r="G107" s="45"/>
      <c r="H107" s="70" t="str">
        <f>Elaborazione!$L$16</f>
        <v>Up</v>
      </c>
      <c r="I107" s="70">
        <f>Elaborazione!$L$18</f>
        <v>22</v>
      </c>
      <c r="J107" s="70" t="str">
        <f>Elaborazione!$L$17</f>
        <v>kV</v>
      </c>
      <c r="K107" s="67" t="s">
        <v>361</v>
      </c>
      <c r="L107" s="67"/>
      <c r="M107" s="67"/>
      <c r="N107" s="67"/>
      <c r="O107" s="67"/>
      <c r="P107" s="67"/>
      <c r="Q107" s="45"/>
      <c r="R107" s="70" t="str">
        <f>Elaborazione!$E$157</f>
        <v>A</v>
      </c>
      <c r="S107" s="70">
        <f>Elaborazione!$E$159</f>
        <v>981.54167019552426</v>
      </c>
      <c r="T107" s="70" t="str">
        <f>Elaborazione!$E$158</f>
        <v>mm</v>
      </c>
    </row>
    <row r="108" spans="1:20">
      <c r="A108" s="67"/>
      <c r="B108" s="67"/>
      <c r="C108" s="67"/>
      <c r="D108" s="67"/>
      <c r="E108" s="67"/>
      <c r="F108" s="70"/>
      <c r="G108" s="45"/>
      <c r="H108" s="70"/>
      <c r="I108" s="70"/>
      <c r="J108" s="70"/>
      <c r="K108" s="67" t="s">
        <v>362</v>
      </c>
      <c r="L108" s="67"/>
      <c r="M108" s="67"/>
      <c r="N108" s="67"/>
      <c r="O108" s="67"/>
      <c r="P108" s="67"/>
      <c r="Q108" s="45"/>
      <c r="R108" s="70" t="str">
        <f>Elaborazione!$F$157</f>
        <v>Lung</v>
      </c>
      <c r="S108" s="70">
        <f>Elaborazione!$F$159</f>
        <v>525.65047051444469</v>
      </c>
      <c r="T108" s="70" t="str">
        <f>Elaborazione!$F$158</f>
        <v>mm</v>
      </c>
    </row>
    <row r="109" spans="1:20">
      <c r="A109" s="67"/>
      <c r="B109" s="67"/>
      <c r="C109" s="67"/>
      <c r="D109" s="67"/>
      <c r="E109" s="67"/>
      <c r="F109" s="67"/>
      <c r="G109" s="45"/>
      <c r="H109" s="67"/>
      <c r="I109" s="70"/>
      <c r="J109" s="67"/>
      <c r="K109" s="67" t="s">
        <v>363</v>
      </c>
      <c r="L109" s="67"/>
      <c r="M109" s="67"/>
      <c r="N109" s="67"/>
      <c r="O109" s="67"/>
      <c r="P109" s="67"/>
      <c r="Q109" s="45"/>
      <c r="R109" s="70" t="str">
        <f>Elaborazione!$G$157</f>
        <v>Larg</v>
      </c>
      <c r="S109" s="70">
        <f>Elaborazione!$G$159</f>
        <v>186.142434140722</v>
      </c>
      <c r="T109" s="70" t="str">
        <f>Elaborazione!$G$158</f>
        <v>mm</v>
      </c>
    </row>
    <row r="110" spans="1:20">
      <c r="A110" s="67" t="s">
        <v>364</v>
      </c>
      <c r="B110" s="67"/>
      <c r="C110" s="67"/>
      <c r="D110" s="67"/>
      <c r="E110" s="67"/>
      <c r="F110" s="67"/>
      <c r="G110" s="45"/>
      <c r="H110" s="70" t="str">
        <f>Elaborazione!$P$16</f>
        <v>Φ</v>
      </c>
      <c r="I110" s="70">
        <f>Elaborazione!$P$18</f>
        <v>0.01</v>
      </c>
      <c r="J110" s="70" t="str">
        <f>Elaborazione!$P$17</f>
        <v>Wb</v>
      </c>
      <c r="K110" s="45"/>
      <c r="L110" s="45"/>
      <c r="M110" s="45"/>
      <c r="N110" s="45"/>
      <c r="O110" s="45"/>
      <c r="P110" s="45"/>
      <c r="Q110" s="45"/>
      <c r="R110" s="45"/>
      <c r="S110" s="45"/>
      <c r="T110" s="45"/>
    </row>
    <row r="111" spans="1:20">
      <c r="A111" s="67"/>
      <c r="B111" s="67"/>
      <c r="C111" s="67"/>
      <c r="D111" s="67"/>
      <c r="E111" s="67"/>
      <c r="F111" s="67"/>
      <c r="G111" s="45"/>
      <c r="H111" s="67"/>
      <c r="I111" s="70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45"/>
    </row>
    <row r="112" spans="1:20">
      <c r="A112" s="67" t="s">
        <v>254</v>
      </c>
      <c r="B112" s="67"/>
      <c r="C112" s="67"/>
      <c r="D112" s="67"/>
      <c r="E112" s="67"/>
      <c r="F112" s="67"/>
      <c r="G112" s="45"/>
      <c r="H112" s="70" t="str">
        <f>Elaborazione!$I$121</f>
        <v>I₀</v>
      </c>
      <c r="I112" s="70">
        <f>Elaborazione!$I$123</f>
        <v>7.3079630873411267E-2</v>
      </c>
      <c r="J112" s="70" t="str">
        <f>Elaborazione!$I$122</f>
        <v>A</v>
      </c>
      <c r="K112" s="67"/>
      <c r="L112" s="67"/>
      <c r="M112" s="67"/>
      <c r="N112" s="67"/>
      <c r="O112" s="67"/>
      <c r="P112" s="67"/>
      <c r="Q112" s="67"/>
      <c r="R112" s="67"/>
      <c r="S112" s="67"/>
      <c r="T112" s="45"/>
    </row>
    <row r="113" spans="1:20">
      <c r="A113" s="67" t="s">
        <v>323</v>
      </c>
      <c r="B113" s="67"/>
      <c r="C113" s="67"/>
      <c r="D113" s="67"/>
      <c r="E113" s="67"/>
      <c r="F113" s="70"/>
      <c r="G113" s="45"/>
      <c r="H113" s="70" t="str">
        <f>Elaborazione!$L$121</f>
        <v>cos ϕ₀</v>
      </c>
      <c r="I113" s="70">
        <f>Elaborazione!$L$123</f>
        <v>0.12515318005129972</v>
      </c>
      <c r="J113" s="70" t="s">
        <v>304</v>
      </c>
      <c r="K113" s="65" t="s">
        <v>367</v>
      </c>
      <c r="L113" s="64"/>
      <c r="M113" s="64"/>
      <c r="N113" s="64"/>
      <c r="O113" s="64"/>
      <c r="P113" s="64"/>
      <c r="Q113" s="64"/>
      <c r="R113" s="64"/>
      <c r="S113" s="64"/>
      <c r="T113" s="64"/>
    </row>
    <row r="114" spans="1:20">
      <c r="A114" s="67" t="s">
        <v>365</v>
      </c>
      <c r="B114" s="67"/>
      <c r="C114" s="67"/>
      <c r="D114" s="67"/>
      <c r="E114" s="67"/>
      <c r="F114" s="70"/>
      <c r="G114" s="45"/>
      <c r="H114" s="70" t="str">
        <f>Elaborazione!$J$4</f>
        <v>cos ϕ</v>
      </c>
      <c r="I114" s="70">
        <f>Elaborazione!$J$6</f>
        <v>1</v>
      </c>
      <c r="J114" s="70" t="s">
        <v>304</v>
      </c>
      <c r="K114" s="45"/>
      <c r="L114" s="45"/>
      <c r="M114" s="75" t="s">
        <v>368</v>
      </c>
      <c r="N114" s="67"/>
      <c r="O114" s="67"/>
      <c r="P114" s="67"/>
      <c r="Q114" s="67"/>
      <c r="R114" s="67"/>
      <c r="S114" s="67"/>
      <c r="T114" s="45"/>
    </row>
    <row r="115" spans="1:20">
      <c r="A115" s="67"/>
      <c r="B115" s="67"/>
      <c r="C115" s="67"/>
      <c r="D115" s="67"/>
      <c r="E115" s="67"/>
      <c r="F115" s="67"/>
      <c r="G115" s="45"/>
      <c r="H115" s="67"/>
      <c r="I115" s="70"/>
      <c r="J115" s="67"/>
      <c r="K115" s="45"/>
      <c r="L115" s="45"/>
      <c r="M115" s="75" t="s">
        <v>369</v>
      </c>
      <c r="N115" s="67"/>
      <c r="O115" s="67"/>
      <c r="P115" s="67"/>
      <c r="Q115" s="67"/>
      <c r="R115" s="67"/>
      <c r="S115" s="67"/>
      <c r="T115" s="45"/>
    </row>
    <row r="116" spans="1:20">
      <c r="A116" s="67" t="s">
        <v>366</v>
      </c>
      <c r="B116" s="67"/>
      <c r="C116" s="67"/>
      <c r="D116" s="67"/>
      <c r="E116" s="67"/>
      <c r="F116" s="67"/>
      <c r="G116" s="45"/>
      <c r="H116" s="70" t="str">
        <f>Elaborazione!$G$88</f>
        <v>Bg</v>
      </c>
      <c r="I116" s="70">
        <f>Elaborazione!$G$90</f>
        <v>2.1390625000000001</v>
      </c>
      <c r="J116" s="70" t="str">
        <f>Elaborazione!$G$89</f>
        <v>Wb/m²</v>
      </c>
      <c r="K116" s="45"/>
      <c r="L116" s="45"/>
      <c r="M116" s="67" t="s">
        <v>251</v>
      </c>
      <c r="N116" s="67"/>
      <c r="O116" s="67"/>
      <c r="P116" s="67"/>
      <c r="Q116" s="67"/>
      <c r="R116" s="67"/>
      <c r="S116" s="67"/>
      <c r="T116" s="45"/>
    </row>
    <row r="117" spans="1:20">
      <c r="A117" s="67"/>
      <c r="B117" s="67"/>
      <c r="C117" s="67"/>
      <c r="D117" s="67"/>
      <c r="E117" s="67"/>
      <c r="F117" s="67"/>
      <c r="G117" s="45"/>
      <c r="H117" s="67"/>
      <c r="I117" s="70"/>
      <c r="J117" s="67"/>
      <c r="K117" s="45"/>
      <c r="L117" s="45"/>
      <c r="M117" s="67"/>
      <c r="N117" s="67"/>
      <c r="O117" s="67"/>
      <c r="P117" s="67"/>
      <c r="Q117" s="67"/>
      <c r="R117" s="67"/>
      <c r="S117" s="67"/>
      <c r="T117" s="45"/>
    </row>
    <row r="118" spans="1:20">
      <c r="A118" s="67"/>
      <c r="B118" s="67"/>
      <c r="C118" s="67"/>
      <c r="D118" s="67"/>
      <c r="E118" s="67"/>
      <c r="F118" s="67"/>
      <c r="G118" s="45"/>
      <c r="H118" s="67"/>
      <c r="I118" s="70"/>
      <c r="J118" s="67"/>
      <c r="K118" s="45"/>
      <c r="L118" s="45"/>
      <c r="M118" s="198" t="s">
        <v>252</v>
      </c>
      <c r="N118" s="198"/>
      <c r="O118" s="198"/>
      <c r="P118" s="57" t="s">
        <v>92</v>
      </c>
      <c r="Q118" s="81">
        <f>Elaborazione!$A$170</f>
        <v>50</v>
      </c>
      <c r="R118" s="82">
        <f>Elaborazione!$A$171</f>
        <v>50</v>
      </c>
      <c r="S118" s="67"/>
      <c r="T118" s="45"/>
    </row>
    <row r="119" spans="1:20">
      <c r="A119" s="67"/>
      <c r="B119" s="67"/>
      <c r="C119" s="67"/>
      <c r="D119" s="67"/>
      <c r="E119" s="67"/>
      <c r="F119" s="67"/>
      <c r="G119" s="45"/>
      <c r="H119" s="67"/>
      <c r="I119" s="70"/>
      <c r="J119" s="67"/>
      <c r="K119" s="45"/>
      <c r="L119" s="45"/>
      <c r="M119" s="198" t="s">
        <v>372</v>
      </c>
      <c r="N119" s="198"/>
      <c r="O119" s="198"/>
      <c r="P119" s="57" t="s">
        <v>93</v>
      </c>
      <c r="Q119" s="81" t="str">
        <f>Elaborazione!$B$170</f>
        <v>15-20</v>
      </c>
      <c r="R119" s="82">
        <f>Elaborazione!$B$171</f>
        <v>6</v>
      </c>
      <c r="S119" s="67"/>
      <c r="T119" s="45"/>
    </row>
    <row r="120" spans="1:20">
      <c r="A120" s="67" t="s">
        <v>370</v>
      </c>
      <c r="B120" s="67"/>
      <c r="C120" s="67"/>
      <c r="D120" s="67"/>
      <c r="E120" s="67"/>
      <c r="F120" s="73"/>
      <c r="G120" s="45"/>
      <c r="H120" s="70" t="str">
        <f>Elaborazione!$Q$114</f>
        <v>Pfe</v>
      </c>
      <c r="I120" s="70">
        <f>Elaborazione!$Q$116</f>
        <v>95.049560263860428</v>
      </c>
      <c r="J120" s="70" t="str">
        <f>Elaborazione!$Q$115</f>
        <v>W</v>
      </c>
      <c r="K120" s="45"/>
      <c r="L120" s="45"/>
      <c r="M120" s="199" t="s">
        <v>253</v>
      </c>
      <c r="N120" s="200" t="s">
        <v>259</v>
      </c>
      <c r="O120" s="201"/>
      <c r="P120" s="57" t="s">
        <v>212</v>
      </c>
      <c r="Q120" s="81">
        <f>Elaborazione!$C$170</f>
        <v>250</v>
      </c>
      <c r="R120" s="82">
        <f>Elaborazione!$C$171</f>
        <v>95</v>
      </c>
      <c r="S120" s="67"/>
      <c r="T120" s="45"/>
    </row>
    <row r="121" spans="1:20">
      <c r="A121" s="67" t="s">
        <v>371</v>
      </c>
      <c r="B121" s="67"/>
      <c r="C121" s="67"/>
      <c r="D121" s="67"/>
      <c r="E121" s="67"/>
      <c r="F121" s="73"/>
      <c r="G121" s="45"/>
      <c r="H121" s="70" t="s">
        <v>304</v>
      </c>
      <c r="I121" s="70" t="s">
        <v>304</v>
      </c>
      <c r="J121" s="70" t="s">
        <v>304</v>
      </c>
      <c r="K121" s="45"/>
      <c r="L121" s="45"/>
      <c r="M121" s="199"/>
      <c r="N121" s="200" t="s">
        <v>260</v>
      </c>
      <c r="O121" s="201"/>
      <c r="P121" s="57" t="s">
        <v>212</v>
      </c>
      <c r="Q121" s="81">
        <f>Elaborazione!$D$170</f>
        <v>1200</v>
      </c>
      <c r="R121" s="82"/>
      <c r="S121" s="67"/>
      <c r="T121" s="45"/>
    </row>
    <row r="122" spans="1:20">
      <c r="A122" s="67"/>
      <c r="B122" s="67"/>
      <c r="C122" s="67"/>
      <c r="D122" s="67"/>
      <c r="E122" s="67"/>
      <c r="F122" s="67"/>
      <c r="G122" s="45"/>
      <c r="H122" s="67"/>
      <c r="I122" s="70"/>
      <c r="J122" s="67"/>
      <c r="K122" s="45"/>
      <c r="L122" s="45"/>
      <c r="M122" s="198" t="s">
        <v>254</v>
      </c>
      <c r="N122" s="198"/>
      <c r="O122" s="198"/>
      <c r="P122" s="57" t="s">
        <v>109</v>
      </c>
      <c r="Q122" s="81">
        <f>Elaborazione!$E$170</f>
        <v>3.5</v>
      </c>
      <c r="R122" s="83">
        <f>Elaborazione!$E$171</f>
        <v>2.6308667114428057</v>
      </c>
      <c r="S122" s="67"/>
      <c r="T122" s="45"/>
    </row>
    <row r="123" spans="1:20">
      <c r="A123" s="67" t="s">
        <v>373</v>
      </c>
      <c r="B123" s="67"/>
      <c r="C123" s="67"/>
      <c r="D123" s="67"/>
      <c r="E123" s="67"/>
      <c r="F123" s="73"/>
      <c r="G123" s="45"/>
      <c r="H123" s="70" t="str">
        <f>Elaborazione!$M$114</f>
        <v>Pcu</v>
      </c>
      <c r="I123" s="70">
        <f>Elaborazione!$M$116</f>
        <v>393.04236836856967</v>
      </c>
      <c r="J123" s="70" t="str">
        <f>Elaborazione!$M$115</f>
        <v>W</v>
      </c>
      <c r="K123" s="45"/>
      <c r="L123" s="45"/>
      <c r="M123" s="198" t="s">
        <v>375</v>
      </c>
      <c r="N123" s="198"/>
      <c r="O123" s="198"/>
      <c r="P123" s="57" t="s">
        <v>109</v>
      </c>
      <c r="Q123" s="81">
        <f>Elaborazione!$F$170</f>
        <v>4.2</v>
      </c>
      <c r="R123" s="83">
        <f>Elaborazione!$F$171</f>
        <v>1.9728267523365037</v>
      </c>
      <c r="S123" s="67"/>
      <c r="T123" s="45"/>
    </row>
    <row r="124" spans="1:20">
      <c r="A124" s="67" t="s">
        <v>374</v>
      </c>
      <c r="B124" s="67"/>
      <c r="C124" s="67"/>
      <c r="D124" s="67"/>
      <c r="E124" s="67"/>
      <c r="F124" s="36"/>
      <c r="G124" s="45"/>
      <c r="H124" s="70" t="s">
        <v>304</v>
      </c>
      <c r="I124" s="70" t="s">
        <v>304</v>
      </c>
      <c r="J124" s="70" t="s">
        <v>304</v>
      </c>
      <c r="K124" s="45"/>
      <c r="L124" s="45"/>
      <c r="M124" s="199" t="s">
        <v>377</v>
      </c>
      <c r="N124" s="198" t="s">
        <v>261</v>
      </c>
      <c r="O124" s="198"/>
      <c r="P124" s="57" t="s">
        <v>271</v>
      </c>
      <c r="Q124" s="81">
        <f>Elaborazione!$G$170</f>
        <v>97.18</v>
      </c>
      <c r="R124" s="83">
        <f>Elaborazione!$G$171</f>
        <v>99.03325336730417</v>
      </c>
      <c r="S124" s="67"/>
      <c r="T124" s="45"/>
    </row>
    <row r="125" spans="1:20">
      <c r="A125" s="67" t="s">
        <v>371</v>
      </c>
      <c r="B125" s="67"/>
      <c r="C125" s="67"/>
      <c r="D125" s="67"/>
      <c r="E125" s="67"/>
      <c r="F125" s="67"/>
      <c r="G125" s="45"/>
      <c r="H125" s="70" t="s">
        <v>304</v>
      </c>
      <c r="I125" s="70" t="s">
        <v>304</v>
      </c>
      <c r="J125" s="70" t="s">
        <v>304</v>
      </c>
      <c r="K125" s="45"/>
      <c r="L125" s="45"/>
      <c r="M125" s="199"/>
      <c r="N125" s="198" t="s">
        <v>261</v>
      </c>
      <c r="O125" s="198"/>
      <c r="P125" s="57" t="s">
        <v>272</v>
      </c>
      <c r="Q125" s="81">
        <f>Elaborazione!$H$170</f>
        <v>96.48</v>
      </c>
      <c r="R125" s="82"/>
      <c r="S125" s="67"/>
      <c r="T125" s="45"/>
    </row>
    <row r="126" spans="1:20">
      <c r="A126" s="67"/>
      <c r="B126" s="67"/>
      <c r="C126" s="67"/>
      <c r="D126" s="67"/>
      <c r="E126" s="67"/>
      <c r="F126" s="67"/>
      <c r="G126" s="45"/>
      <c r="H126" s="67"/>
      <c r="I126" s="70"/>
      <c r="J126" s="67"/>
      <c r="K126" s="45"/>
      <c r="L126" s="45"/>
      <c r="M126" s="199"/>
      <c r="N126" s="198" t="s">
        <v>262</v>
      </c>
      <c r="O126" s="198"/>
      <c r="P126" s="57" t="s">
        <v>271</v>
      </c>
      <c r="Q126" s="81">
        <f>Elaborazione!$I$170</f>
        <v>97.54</v>
      </c>
      <c r="R126" s="82"/>
      <c r="S126" s="67"/>
      <c r="T126" s="45"/>
    </row>
    <row r="127" spans="1:20">
      <c r="A127" s="67" t="s">
        <v>376</v>
      </c>
      <c r="B127" s="67"/>
      <c r="C127" s="67"/>
      <c r="D127" s="67"/>
      <c r="E127" s="67"/>
      <c r="F127" s="67"/>
      <c r="G127" s="45"/>
      <c r="H127" s="70" t="str">
        <f>Elaborazione!$S$114</f>
        <v>Pcu/Pfe</v>
      </c>
      <c r="I127" s="70">
        <f>Elaborazione!$S$116</f>
        <v>4.1351308441351255</v>
      </c>
      <c r="J127" s="70" t="s">
        <v>304</v>
      </c>
      <c r="K127" s="45"/>
      <c r="L127" s="45"/>
      <c r="M127" s="199"/>
      <c r="N127" s="198" t="s">
        <v>262</v>
      </c>
      <c r="O127" s="198"/>
      <c r="P127" s="57" t="s">
        <v>272</v>
      </c>
      <c r="Q127" s="81">
        <f>Elaborazione!$J$170</f>
        <v>96.92</v>
      </c>
      <c r="R127" s="82"/>
      <c r="S127" s="67"/>
      <c r="T127" s="45"/>
    </row>
    <row r="128" spans="1:20">
      <c r="A128" s="67"/>
      <c r="B128" s="67"/>
      <c r="C128" s="67"/>
      <c r="D128" s="67"/>
      <c r="E128" s="67"/>
      <c r="F128" s="67"/>
      <c r="G128" s="45"/>
      <c r="H128" s="67"/>
      <c r="I128" s="67"/>
      <c r="J128" s="67"/>
      <c r="K128" s="45"/>
      <c r="L128" s="45"/>
      <c r="M128" s="199"/>
      <c r="N128" s="198" t="s">
        <v>263</v>
      </c>
      <c r="O128" s="198"/>
      <c r="P128" s="57" t="s">
        <v>271</v>
      </c>
      <c r="Q128" s="81">
        <f>Elaborazione!$K$170</f>
        <v>97.84</v>
      </c>
      <c r="R128" s="82"/>
      <c r="S128" s="67"/>
      <c r="T128" s="45"/>
    </row>
    <row r="129" spans="1:20">
      <c r="A129" s="67"/>
      <c r="B129" s="67"/>
      <c r="C129" s="67"/>
      <c r="D129" s="67"/>
      <c r="E129" s="67"/>
      <c r="F129" s="67"/>
      <c r="G129" s="45"/>
      <c r="H129" s="67"/>
      <c r="I129" s="67"/>
      <c r="J129" s="67"/>
      <c r="K129" s="45"/>
      <c r="L129" s="45"/>
      <c r="M129" s="199"/>
      <c r="N129" s="198" t="s">
        <v>263</v>
      </c>
      <c r="O129" s="198"/>
      <c r="P129" s="57" t="s">
        <v>272</v>
      </c>
      <c r="Q129" s="81">
        <f>Elaborazione!$L$170</f>
        <v>97.32</v>
      </c>
      <c r="R129" s="82"/>
      <c r="S129" s="67"/>
      <c r="T129" s="45"/>
    </row>
    <row r="130" spans="1:20">
      <c r="A130" s="67"/>
      <c r="B130" s="67"/>
      <c r="C130" s="67"/>
      <c r="D130" s="67"/>
      <c r="E130" s="67"/>
      <c r="F130" s="67"/>
      <c r="G130" s="45"/>
      <c r="H130" s="67"/>
      <c r="I130" s="67"/>
      <c r="J130" s="67"/>
      <c r="K130" s="45"/>
      <c r="L130" s="45"/>
      <c r="M130" s="199" t="s">
        <v>257</v>
      </c>
      <c r="N130" s="198" t="s">
        <v>264</v>
      </c>
      <c r="O130" s="198"/>
      <c r="P130" s="57" t="s">
        <v>273</v>
      </c>
      <c r="Q130" s="81">
        <f>Elaborazione!$M$170</f>
        <v>165</v>
      </c>
      <c r="R130" s="82">
        <f>Elaborazione!$M$171</f>
        <v>82</v>
      </c>
      <c r="S130" s="67"/>
      <c r="T130" s="45"/>
    </row>
    <row r="131" spans="1:20">
      <c r="A131" s="67"/>
      <c r="B131" s="67"/>
      <c r="C131" s="67"/>
      <c r="D131" s="67"/>
      <c r="E131" s="67"/>
      <c r="F131" s="67"/>
      <c r="G131" s="45"/>
      <c r="H131" s="67"/>
      <c r="I131" s="67"/>
      <c r="J131" s="67"/>
      <c r="K131" s="45"/>
      <c r="L131" s="45"/>
      <c r="M131" s="199"/>
      <c r="N131" s="198" t="s">
        <v>265</v>
      </c>
      <c r="O131" s="198"/>
      <c r="P131" s="57" t="s">
        <v>273</v>
      </c>
      <c r="Q131" s="81">
        <f>Elaborazione!$N$170</f>
        <v>60</v>
      </c>
      <c r="R131" s="82">
        <f>Elaborazione!$N$171</f>
        <v>30</v>
      </c>
      <c r="S131" s="67"/>
      <c r="T131" s="45"/>
    </row>
    <row r="132" spans="1:20">
      <c r="A132" s="67"/>
      <c r="B132" s="67"/>
      <c r="C132" s="67"/>
      <c r="D132" s="67"/>
      <c r="E132" s="67"/>
      <c r="F132" s="67"/>
      <c r="G132" s="45"/>
      <c r="H132" s="67"/>
      <c r="I132" s="67"/>
      <c r="J132" s="67"/>
      <c r="K132" s="45"/>
      <c r="L132" s="45"/>
      <c r="M132" s="199"/>
      <c r="N132" s="205" t="s">
        <v>266</v>
      </c>
      <c r="O132" s="198"/>
      <c r="P132" s="57" t="s">
        <v>273</v>
      </c>
      <c r="Q132" s="81">
        <f>Elaborazione!$O$170</f>
        <v>310</v>
      </c>
      <c r="R132" s="82"/>
      <c r="S132" s="67"/>
      <c r="T132" s="45"/>
    </row>
    <row r="133" spans="1:20" ht="15" customHeight="1">
      <c r="A133" s="67"/>
      <c r="B133" s="67"/>
      <c r="C133" s="67"/>
      <c r="D133" s="67"/>
      <c r="E133" s="67"/>
      <c r="F133" s="67"/>
      <c r="G133" s="45"/>
      <c r="H133" s="67"/>
      <c r="I133" s="67"/>
      <c r="J133" s="67"/>
      <c r="K133" s="45"/>
      <c r="L133" s="45"/>
      <c r="M133" s="199"/>
      <c r="N133" s="198" t="s">
        <v>267</v>
      </c>
      <c r="O133" s="198"/>
      <c r="P133" s="57" t="s">
        <v>273</v>
      </c>
      <c r="Q133" s="81">
        <f>Elaborazione!$P$170</f>
        <v>120</v>
      </c>
      <c r="R133" s="82"/>
      <c r="S133" s="67"/>
      <c r="T133" s="45"/>
    </row>
    <row r="134" spans="1:20">
      <c r="A134" s="67"/>
      <c r="B134" s="67"/>
      <c r="C134" s="67"/>
      <c r="D134" s="67"/>
      <c r="E134" s="67"/>
      <c r="F134" s="67"/>
      <c r="G134" s="67"/>
      <c r="H134" s="67"/>
      <c r="I134" s="67"/>
      <c r="J134" s="45"/>
      <c r="K134" s="45"/>
      <c r="L134" s="45"/>
      <c r="M134" s="199"/>
      <c r="N134" s="198" t="s">
        <v>268</v>
      </c>
      <c r="O134" s="198"/>
      <c r="P134" s="57" t="s">
        <v>273</v>
      </c>
      <c r="Q134" s="81">
        <f>Elaborazione!$Q$170</f>
        <v>490</v>
      </c>
      <c r="R134" s="82"/>
      <c r="S134" s="67"/>
      <c r="T134" s="45"/>
    </row>
    <row r="135" spans="1:20" ht="15" customHeight="1">
      <c r="A135" s="67"/>
      <c r="B135" s="67"/>
      <c r="C135" s="67"/>
      <c r="D135" s="67"/>
      <c r="E135" s="67"/>
      <c r="F135" s="67"/>
      <c r="G135" s="67"/>
      <c r="H135" s="67"/>
      <c r="I135" s="67"/>
      <c r="J135" s="45"/>
      <c r="K135" s="45"/>
      <c r="L135" s="45"/>
      <c r="M135" s="203" t="s">
        <v>378</v>
      </c>
      <c r="N135" s="199" t="s">
        <v>269</v>
      </c>
      <c r="O135" s="199"/>
      <c r="P135" s="57" t="s">
        <v>274</v>
      </c>
      <c r="Q135" s="81" t="str">
        <f>Elaborazione!$R$170</f>
        <v>900x480</v>
      </c>
      <c r="R135" s="84" t="str">
        <f>Elaborazione!$R$171</f>
        <v>526x186</v>
      </c>
      <c r="S135" s="67"/>
      <c r="T135" s="45"/>
    </row>
    <row r="136" spans="1:20">
      <c r="A136" s="67"/>
      <c r="B136" s="67"/>
      <c r="C136" s="67"/>
      <c r="D136" s="67"/>
      <c r="E136" s="67"/>
      <c r="F136" s="67"/>
      <c r="G136" s="67"/>
      <c r="H136" s="67"/>
      <c r="I136" s="67"/>
      <c r="J136" s="45"/>
      <c r="K136" s="45"/>
      <c r="L136" s="45"/>
      <c r="M136" s="203"/>
      <c r="N136" s="198" t="s">
        <v>270</v>
      </c>
      <c r="O136" s="198"/>
      <c r="P136" s="57" t="s">
        <v>46</v>
      </c>
      <c r="Q136" s="81">
        <f>Elaborazione!$S$170</f>
        <v>1060</v>
      </c>
      <c r="R136" s="82">
        <f>Elaborazione!$S$171</f>
        <v>981</v>
      </c>
      <c r="S136" s="67"/>
      <c r="T136" s="45"/>
    </row>
    <row r="137" spans="1:20">
      <c r="A137" s="67"/>
      <c r="B137" s="67"/>
      <c r="C137" s="67"/>
      <c r="D137" s="67"/>
      <c r="E137" s="67"/>
      <c r="F137" s="67"/>
      <c r="G137" s="67"/>
      <c r="H137" s="67"/>
      <c r="I137" s="67"/>
      <c r="J137" s="45"/>
    </row>
    <row r="138" spans="1:20">
      <c r="A138" s="67"/>
      <c r="B138" s="67"/>
      <c r="C138" s="67"/>
      <c r="D138" s="67"/>
      <c r="E138" s="67"/>
      <c r="F138" s="67"/>
      <c r="G138" s="67"/>
      <c r="H138" s="67"/>
      <c r="I138" s="67"/>
      <c r="J138" s="45"/>
    </row>
    <row r="139" spans="1:20" s="45" customFormat="1">
      <c r="A139" s="67"/>
      <c r="B139" s="67"/>
      <c r="C139" s="67"/>
      <c r="D139" s="67"/>
      <c r="E139" s="67"/>
      <c r="F139" s="67"/>
      <c r="G139" s="67"/>
      <c r="H139" s="67"/>
      <c r="I139" s="67"/>
    </row>
    <row r="140" spans="1:20">
      <c r="A140" s="67"/>
      <c r="B140" s="67"/>
      <c r="C140" s="67"/>
      <c r="D140" s="67"/>
      <c r="E140" s="67"/>
      <c r="F140" s="67"/>
      <c r="G140" s="67"/>
      <c r="H140" s="67"/>
      <c r="I140" s="67"/>
      <c r="J140" s="45"/>
    </row>
    <row r="141" spans="1:20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</row>
    <row r="142" spans="1:20" ht="15" customHeight="1">
      <c r="A142" s="65" t="s">
        <v>112</v>
      </c>
      <c r="B142" s="64"/>
      <c r="C142" s="64"/>
      <c r="D142" s="64"/>
      <c r="E142" s="64"/>
      <c r="F142" s="64"/>
      <c r="G142" s="64"/>
      <c r="H142" s="64"/>
      <c r="I142" s="64"/>
      <c r="J142" s="66" t="s">
        <v>379</v>
      </c>
      <c r="K142" s="65" t="s">
        <v>380</v>
      </c>
      <c r="L142" s="64"/>
      <c r="M142" s="64"/>
      <c r="N142" s="64"/>
      <c r="O142" s="64"/>
      <c r="P142" s="64"/>
      <c r="Q142" s="64"/>
      <c r="R142" s="64"/>
      <c r="S142" s="64"/>
      <c r="T142" s="66" t="s">
        <v>381</v>
      </c>
    </row>
    <row r="143" spans="1:20">
      <c r="A143" s="67"/>
      <c r="B143" s="67"/>
      <c r="C143" s="67"/>
      <c r="D143" s="67"/>
      <c r="E143" s="67"/>
      <c r="F143" s="67"/>
      <c r="G143" s="67"/>
      <c r="H143" s="67"/>
      <c r="I143" s="67"/>
      <c r="J143" s="45"/>
      <c r="K143" s="67"/>
      <c r="L143" s="67"/>
      <c r="M143" s="67"/>
      <c r="N143" s="67"/>
      <c r="O143" s="67"/>
      <c r="P143" s="67"/>
      <c r="Q143" s="67"/>
      <c r="R143" s="67"/>
      <c r="S143" s="67"/>
      <c r="T143" s="45"/>
    </row>
    <row r="144" spans="1:20">
      <c r="A144" s="69" t="s">
        <v>277</v>
      </c>
      <c r="B144" s="67"/>
      <c r="C144" s="67"/>
      <c r="D144" s="67"/>
      <c r="E144" s="67"/>
      <c r="F144" s="67"/>
      <c r="G144" s="45"/>
      <c r="H144" s="35" t="s">
        <v>278</v>
      </c>
      <c r="I144" s="35" t="s">
        <v>279</v>
      </c>
      <c r="J144" s="35" t="s">
        <v>280</v>
      </c>
      <c r="K144" s="67"/>
      <c r="L144" s="67"/>
      <c r="M144" s="67"/>
      <c r="N144" s="67"/>
      <c r="O144" s="67"/>
      <c r="P144" s="67"/>
      <c r="Q144" s="67"/>
      <c r="R144" s="67"/>
      <c r="S144" s="67"/>
      <c r="T144" s="45"/>
    </row>
    <row r="145" spans="1:20">
      <c r="A145" s="67" t="s">
        <v>382</v>
      </c>
      <c r="B145" s="67"/>
      <c r="C145" s="67"/>
      <c r="D145" s="67"/>
      <c r="E145" s="67"/>
      <c r="F145" s="67"/>
      <c r="G145" s="45"/>
      <c r="H145" s="70" t="str">
        <f>Elaborazione!$C$26</f>
        <v>Sn</v>
      </c>
      <c r="I145" s="77">
        <f>Elaborazione!$C$28</f>
        <v>4.3243243243243244E-3</v>
      </c>
      <c r="J145" s="70" t="str">
        <f>Elaborazione!$C$27</f>
        <v>m²</v>
      </c>
      <c r="K145" s="67"/>
      <c r="L145" s="67"/>
      <c r="M145" s="67"/>
      <c r="N145" s="67"/>
      <c r="O145" s="67"/>
      <c r="P145" s="67"/>
      <c r="Q145" s="67"/>
      <c r="R145" s="67"/>
      <c r="S145" s="67"/>
      <c r="T145" s="45"/>
    </row>
    <row r="146" spans="1:20">
      <c r="A146" s="67" t="s">
        <v>383</v>
      </c>
      <c r="B146" s="67"/>
      <c r="C146" s="67"/>
      <c r="D146" s="67"/>
      <c r="E146" s="67"/>
      <c r="F146" s="67"/>
      <c r="G146" s="45"/>
      <c r="H146" s="70" t="str">
        <f>Elaborazione!$D$26</f>
        <v>Sc</v>
      </c>
      <c r="I146" s="77">
        <f>Elaborazione!$D$28</f>
        <v>4.9084271558732396E-3</v>
      </c>
      <c r="J146" s="70" t="str">
        <f>Elaborazione!$D$27</f>
        <v>m²</v>
      </c>
      <c r="K146" s="67"/>
      <c r="L146" s="67"/>
      <c r="M146" s="67"/>
      <c r="N146" s="67"/>
      <c r="O146" s="67"/>
      <c r="P146" s="67"/>
      <c r="Q146" s="67"/>
      <c r="R146" s="67"/>
      <c r="S146" s="67"/>
      <c r="T146" s="45"/>
    </row>
    <row r="147" spans="1:20">
      <c r="A147" s="67" t="s">
        <v>384</v>
      </c>
      <c r="B147" s="67"/>
      <c r="C147" s="67"/>
      <c r="D147" s="67"/>
      <c r="E147" s="67"/>
      <c r="F147" s="67"/>
      <c r="G147" s="45"/>
      <c r="H147" s="70" t="str">
        <f>Elaborazione!$E$26</f>
        <v>Dc</v>
      </c>
      <c r="I147" s="77">
        <f>Elaborazione!$E$28</f>
        <v>7.905443414072201E-2</v>
      </c>
      <c r="J147" s="70" t="str">
        <f>Elaborazione!$E$27</f>
        <v>m</v>
      </c>
      <c r="K147" s="67"/>
      <c r="L147" s="67"/>
      <c r="M147" s="67"/>
      <c r="N147" s="67"/>
      <c r="O147" s="67"/>
      <c r="P147" s="67"/>
      <c r="Q147" s="67"/>
      <c r="R147" s="67"/>
      <c r="S147" s="67"/>
      <c r="T147" s="45"/>
    </row>
    <row r="148" spans="1:20">
      <c r="A148" s="67" t="str">
        <f>CONCATENATE("Sezione del Nucleo a ",TEXT(Elaborazione!$I$6,"#")," gradini")</f>
        <v>Sezione del Nucleo a 3 gradini</v>
      </c>
      <c r="B148" s="67"/>
      <c r="C148" s="70"/>
      <c r="D148" s="67"/>
      <c r="E148" s="67"/>
      <c r="F148" s="67"/>
      <c r="G148" s="45"/>
      <c r="H148" s="70" t="s">
        <v>385</v>
      </c>
      <c r="I148" s="77">
        <f>IF(Elaborazione!$I$6=2,Elaborazione!H27,IF(Elaborazione!$I$6=3,Elaborazione!K27,IF(Elaborazione!$I$6=4,Elaborazione!N27,"")))</f>
        <v>3.3440025641525407E-2</v>
      </c>
      <c r="J148" s="70" t="str">
        <f>IF(I148="","","m")</f>
        <v>m</v>
      </c>
      <c r="K148" s="67"/>
      <c r="L148" s="67"/>
      <c r="M148" s="67"/>
      <c r="N148" s="67"/>
      <c r="O148" s="67"/>
      <c r="P148" s="67"/>
      <c r="Q148" s="67"/>
      <c r="R148" s="67"/>
      <c r="S148" s="67"/>
      <c r="T148" s="45"/>
    </row>
    <row r="149" spans="1:20">
      <c r="A149" s="67"/>
      <c r="B149" s="67"/>
      <c r="C149" s="67"/>
      <c r="D149" s="67"/>
      <c r="E149" s="67"/>
      <c r="F149" s="67"/>
      <c r="G149" s="45"/>
      <c r="H149" s="70" t="s">
        <v>386</v>
      </c>
      <c r="I149" s="77">
        <f>IF(Elaborazione!$I$6=2,Elaborazione!H28,IF(Elaborazione!$I$6=3,Elaborazione!K28,IF(Elaborazione!$I$6=4,Elaborazione!N28,"")))</f>
        <v>4.8618476996544036E-2</v>
      </c>
      <c r="J149" s="70" t="str">
        <f>IF(I149="","","m")</f>
        <v>m</v>
      </c>
      <c r="K149" s="67"/>
      <c r="L149" s="67"/>
      <c r="M149" s="67"/>
      <c r="N149" s="67"/>
      <c r="O149" s="67"/>
      <c r="P149" s="67"/>
      <c r="Q149" s="67"/>
      <c r="R149" s="67"/>
      <c r="S149" s="67"/>
      <c r="T149" s="45"/>
    </row>
    <row r="150" spans="1:20">
      <c r="A150" s="67"/>
      <c r="B150" s="67"/>
      <c r="C150" s="67"/>
      <c r="D150" s="67"/>
      <c r="E150" s="67"/>
      <c r="F150" s="67"/>
      <c r="G150" s="45"/>
      <c r="H150" s="70" t="s">
        <v>387</v>
      </c>
      <c r="I150" s="77">
        <f>IF(Elaborazione!$I$6=2,Elaborazione!H29,IF(Elaborazione!$I$6=3,Elaborazione!K29,IF(Elaborazione!$I$6=4,Elaborazione!N29,"")))</f>
        <v>6.2294894102888944E-2</v>
      </c>
      <c r="J150" s="70" t="str">
        <f>IF(I150="","","m")</f>
        <v>m</v>
      </c>
      <c r="K150" s="67"/>
      <c r="L150" s="67"/>
      <c r="M150" s="67"/>
      <c r="N150" s="67"/>
      <c r="O150" s="67"/>
      <c r="P150" s="67"/>
      <c r="Q150" s="67"/>
      <c r="R150" s="67"/>
      <c r="S150" s="67"/>
      <c r="T150" s="45"/>
    </row>
    <row r="151" spans="1:20">
      <c r="A151" s="67"/>
      <c r="B151" s="67"/>
      <c r="C151" s="67"/>
      <c r="D151" s="67"/>
      <c r="E151" s="67"/>
      <c r="F151" s="67"/>
      <c r="G151" s="45"/>
      <c r="H151" s="70" t="str">
        <f>IF(OR(Elaborazione!$I$6=3,Elaborazione!$I$6=4),"L4","")</f>
        <v>L4</v>
      </c>
      <c r="I151" s="77">
        <f>IF(Elaborazione!$I$6=3,Elaborazione!K30,IF(Elaborazione!$I$6=4,Elaborazione!N30,""))</f>
        <v>7.6682801116500346E-2</v>
      </c>
      <c r="J151" s="70" t="str">
        <f>IF(I151="","","m")</f>
        <v>m</v>
      </c>
      <c r="K151" s="67"/>
      <c r="L151" s="67"/>
      <c r="M151" s="67"/>
      <c r="N151" s="67"/>
      <c r="O151" s="67"/>
      <c r="P151" s="67"/>
      <c r="Q151" s="67"/>
      <c r="R151" s="67"/>
      <c r="S151" s="67"/>
      <c r="T151" s="45"/>
    </row>
    <row r="152" spans="1:20">
      <c r="A152" s="67"/>
      <c r="B152" s="67"/>
      <c r="C152" s="67"/>
      <c r="D152" s="67"/>
      <c r="E152" s="67"/>
      <c r="F152" s="67"/>
      <c r="G152" s="45"/>
      <c r="H152" s="70" t="str">
        <f>IF(Elaborazione!$I$6=4,"L5","")</f>
        <v/>
      </c>
      <c r="I152" s="77" t="str">
        <f>IF(Elaborazione!$I$6=4,Elaborazione!N31,"")</f>
        <v/>
      </c>
      <c r="J152" s="70" t="str">
        <f>IF(I152="","","m")</f>
        <v/>
      </c>
      <c r="K152" s="67"/>
      <c r="L152" s="67"/>
      <c r="M152" s="67"/>
      <c r="N152" s="67"/>
      <c r="O152" s="67"/>
      <c r="P152" s="67"/>
      <c r="Q152" s="67"/>
      <c r="R152" s="67"/>
      <c r="S152" s="67"/>
      <c r="T152" s="45"/>
    </row>
    <row r="153" spans="1:20">
      <c r="A153" s="67"/>
      <c r="B153" s="67"/>
      <c r="C153" s="67"/>
      <c r="D153" s="67"/>
      <c r="E153" s="67"/>
      <c r="F153" s="67"/>
      <c r="G153" s="45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45"/>
    </row>
    <row r="154" spans="1:20">
      <c r="A154" s="67"/>
      <c r="B154" s="67"/>
      <c r="C154" s="67"/>
      <c r="D154" s="67"/>
      <c r="E154" s="67"/>
      <c r="F154" s="67"/>
      <c r="G154" s="67"/>
      <c r="H154" s="67"/>
      <c r="I154" s="67"/>
      <c r="J154" s="45"/>
      <c r="K154" s="67"/>
      <c r="L154" s="67"/>
      <c r="M154" s="67"/>
      <c r="N154" s="67"/>
      <c r="O154" s="67"/>
      <c r="P154" s="67"/>
      <c r="Q154" s="67"/>
      <c r="R154" s="67"/>
      <c r="S154" s="67"/>
      <c r="T154" s="45"/>
    </row>
    <row r="155" spans="1:20">
      <c r="A155" s="67"/>
      <c r="B155" s="67"/>
      <c r="C155" s="67"/>
      <c r="D155" s="67"/>
      <c r="E155" s="67"/>
      <c r="F155" s="67"/>
      <c r="G155" s="67"/>
      <c r="H155" s="67"/>
      <c r="I155" s="67"/>
      <c r="J155" s="45"/>
      <c r="K155" s="67"/>
      <c r="L155" s="67"/>
      <c r="M155" s="67"/>
      <c r="N155" s="67"/>
      <c r="O155" s="67"/>
      <c r="P155" s="67"/>
      <c r="Q155" s="67"/>
      <c r="R155" s="67"/>
      <c r="S155" s="67"/>
      <c r="T155" s="45"/>
    </row>
    <row r="156" spans="1:20">
      <c r="A156" s="67"/>
      <c r="B156" s="67"/>
      <c r="C156" s="67"/>
      <c r="D156" s="67"/>
      <c r="E156" s="67"/>
      <c r="F156" s="67"/>
      <c r="G156" s="67"/>
      <c r="H156" s="67"/>
      <c r="I156" s="67"/>
      <c r="J156" s="45"/>
      <c r="K156" s="67"/>
      <c r="L156" s="67"/>
      <c r="M156" s="67"/>
      <c r="N156" s="67"/>
      <c r="O156" s="67"/>
      <c r="P156" s="67"/>
      <c r="Q156" s="67"/>
      <c r="R156" s="67"/>
      <c r="S156" s="67"/>
      <c r="T156" s="45"/>
    </row>
    <row r="157" spans="1:20">
      <c r="A157" s="67"/>
      <c r="B157" s="67"/>
      <c r="C157" s="67"/>
      <c r="D157" s="67"/>
      <c r="E157" s="67"/>
      <c r="F157" s="67"/>
      <c r="G157" s="67"/>
      <c r="H157" s="67"/>
      <c r="I157" s="67"/>
      <c r="J157" s="45"/>
      <c r="K157" s="67"/>
      <c r="L157" s="67"/>
      <c r="M157" s="67"/>
      <c r="N157" s="67"/>
      <c r="O157" s="67"/>
      <c r="P157" s="67"/>
      <c r="Q157" s="67"/>
      <c r="R157" s="67"/>
      <c r="S157" s="67"/>
      <c r="T157" s="45"/>
    </row>
    <row r="158" spans="1:20">
      <c r="A158" s="67"/>
      <c r="B158" s="67"/>
      <c r="C158" s="67"/>
      <c r="D158" s="67"/>
      <c r="E158" s="67"/>
      <c r="F158" s="67"/>
      <c r="G158" s="67"/>
      <c r="H158" s="67"/>
      <c r="I158" s="67"/>
      <c r="J158" s="45"/>
      <c r="K158" s="67"/>
      <c r="L158" s="67"/>
      <c r="M158" s="67"/>
      <c r="N158" s="67"/>
      <c r="O158" s="67"/>
      <c r="P158" s="67"/>
      <c r="Q158" s="67"/>
      <c r="R158" s="67"/>
      <c r="S158" s="67"/>
      <c r="T158" s="45"/>
    </row>
    <row r="159" spans="1:20">
      <c r="A159" s="67"/>
      <c r="B159" s="67"/>
      <c r="C159" s="67"/>
      <c r="D159" s="67"/>
      <c r="E159" s="67"/>
      <c r="F159" s="67"/>
      <c r="G159" s="67"/>
      <c r="H159" s="67"/>
      <c r="I159" s="67"/>
      <c r="J159" s="45"/>
      <c r="K159" s="67"/>
      <c r="L159" s="67"/>
      <c r="M159" s="67"/>
      <c r="N159" s="67"/>
      <c r="O159" s="67"/>
      <c r="P159" s="67"/>
      <c r="Q159" s="67"/>
      <c r="R159" s="67"/>
      <c r="S159" s="67"/>
      <c r="T159" s="45"/>
    </row>
    <row r="160" spans="1:20">
      <c r="A160" s="67"/>
      <c r="B160" s="67"/>
      <c r="C160" s="67"/>
      <c r="D160" s="67"/>
      <c r="E160" s="67"/>
      <c r="F160" s="67"/>
      <c r="G160" s="67"/>
      <c r="H160" s="67"/>
      <c r="I160" s="67"/>
      <c r="J160" s="45"/>
      <c r="K160" s="67"/>
      <c r="L160" s="67"/>
      <c r="M160" s="67"/>
      <c r="N160" s="67"/>
      <c r="O160" s="67"/>
      <c r="P160" s="67"/>
      <c r="Q160" s="67"/>
      <c r="R160" s="67"/>
      <c r="S160" s="67"/>
      <c r="T160" s="45"/>
    </row>
    <row r="161" spans="1:20">
      <c r="A161" s="67"/>
      <c r="B161" s="67"/>
      <c r="C161" s="67"/>
      <c r="D161" s="67"/>
      <c r="E161" s="67"/>
      <c r="F161" s="67"/>
      <c r="G161" s="67"/>
      <c r="H161" s="67"/>
      <c r="I161" s="67"/>
      <c r="J161" s="45"/>
      <c r="K161" s="67"/>
      <c r="L161" s="67"/>
      <c r="M161" s="67"/>
      <c r="N161" s="67"/>
      <c r="O161" s="67"/>
      <c r="P161" s="67"/>
      <c r="Q161" s="67"/>
      <c r="R161" s="67"/>
      <c r="S161" s="67"/>
      <c r="T161" s="45"/>
    </row>
    <row r="162" spans="1:20">
      <c r="A162" s="67"/>
      <c r="B162" s="67"/>
      <c r="C162" s="67"/>
      <c r="D162" s="67"/>
      <c r="E162" s="67"/>
      <c r="F162" s="67"/>
      <c r="G162" s="67"/>
      <c r="H162" s="67"/>
      <c r="I162" s="67"/>
      <c r="J162" s="45"/>
      <c r="K162" s="67"/>
      <c r="L162" s="67"/>
      <c r="M162" s="67"/>
      <c r="N162" s="67"/>
      <c r="O162" s="67"/>
      <c r="P162" s="67"/>
      <c r="Q162" s="67"/>
      <c r="R162" s="67"/>
      <c r="S162" s="67"/>
      <c r="T162" s="45"/>
    </row>
    <row r="163" spans="1:20">
      <c r="A163" s="67"/>
      <c r="B163" s="67"/>
      <c r="C163" s="67"/>
      <c r="D163" s="67"/>
      <c r="E163" s="67"/>
      <c r="F163" s="67"/>
      <c r="G163" s="67"/>
      <c r="H163" s="67"/>
      <c r="I163" s="67"/>
      <c r="J163" s="45"/>
      <c r="K163" s="67"/>
      <c r="L163" s="67"/>
      <c r="M163" s="67"/>
      <c r="N163" s="67"/>
      <c r="O163" s="67"/>
      <c r="P163" s="67"/>
      <c r="Q163" s="67"/>
      <c r="R163" s="67"/>
      <c r="S163" s="67"/>
      <c r="T163" s="45"/>
    </row>
    <row r="164" spans="1:20">
      <c r="A164" s="67"/>
      <c r="B164" s="67"/>
      <c r="C164" s="67"/>
      <c r="D164" s="67"/>
      <c r="E164" s="67"/>
      <c r="F164" s="67"/>
      <c r="G164" s="67"/>
      <c r="H164" s="67"/>
      <c r="I164" s="67"/>
      <c r="J164" s="45"/>
      <c r="K164" s="67"/>
      <c r="L164" s="67"/>
      <c r="M164" s="67"/>
      <c r="N164" s="67"/>
      <c r="O164" s="67"/>
      <c r="P164" s="67"/>
      <c r="Q164" s="67"/>
      <c r="R164" s="67"/>
      <c r="S164" s="67"/>
      <c r="T164" s="45"/>
    </row>
    <row r="165" spans="1:20">
      <c r="A165" s="67"/>
      <c r="B165" s="67"/>
      <c r="C165" s="67"/>
      <c r="D165" s="67"/>
      <c r="E165" s="67"/>
      <c r="F165" s="67"/>
      <c r="G165" s="67"/>
      <c r="H165" s="67"/>
      <c r="I165" s="67"/>
      <c r="J165" s="45"/>
      <c r="K165" s="67"/>
      <c r="L165" s="67"/>
      <c r="M165" s="67"/>
      <c r="N165" s="67"/>
      <c r="O165" s="67"/>
      <c r="P165" s="67"/>
      <c r="Q165" s="67"/>
      <c r="R165" s="67"/>
      <c r="S165" s="67"/>
      <c r="T165" s="45"/>
    </row>
    <row r="166" spans="1:20">
      <c r="A166" s="67"/>
      <c r="B166" s="67"/>
      <c r="C166" s="67"/>
      <c r="D166" s="67"/>
      <c r="E166" s="67"/>
      <c r="F166" s="67"/>
      <c r="G166" s="67"/>
      <c r="H166" s="67"/>
      <c r="I166" s="67"/>
      <c r="J166" s="45"/>
      <c r="K166" s="67"/>
      <c r="L166" s="67"/>
      <c r="M166" s="67"/>
      <c r="N166" s="67"/>
      <c r="O166" s="67"/>
      <c r="P166" s="67"/>
      <c r="Q166" s="67"/>
      <c r="R166" s="67"/>
      <c r="S166" s="67"/>
      <c r="T166" s="45"/>
    </row>
    <row r="167" spans="1:20">
      <c r="A167" s="67"/>
      <c r="B167" s="67"/>
      <c r="C167" s="67"/>
      <c r="D167" s="67"/>
      <c r="E167" s="67"/>
      <c r="F167" s="67"/>
      <c r="G167" s="67"/>
      <c r="H167" s="67"/>
      <c r="I167" s="67"/>
      <c r="J167" s="45"/>
      <c r="K167" s="67"/>
      <c r="L167" s="67"/>
      <c r="M167" s="67"/>
      <c r="N167" s="67"/>
      <c r="O167" s="67"/>
      <c r="P167" s="67"/>
      <c r="Q167" s="67"/>
      <c r="R167" s="67"/>
      <c r="S167" s="67"/>
      <c r="T167" s="45"/>
    </row>
    <row r="168" spans="1:20">
      <c r="A168" s="67"/>
      <c r="B168" s="67"/>
      <c r="C168" s="67"/>
      <c r="D168" s="67"/>
      <c r="E168" s="67"/>
      <c r="F168" s="67"/>
      <c r="G168" s="67"/>
      <c r="H168" s="67"/>
      <c r="I168" s="67"/>
      <c r="J168" s="45"/>
      <c r="K168" s="67"/>
      <c r="L168" s="67"/>
      <c r="M168" s="67"/>
      <c r="N168" s="67"/>
      <c r="O168" s="67"/>
      <c r="P168" s="67"/>
      <c r="Q168" s="67"/>
      <c r="R168" s="67"/>
      <c r="S168" s="67"/>
      <c r="T168" s="45"/>
    </row>
    <row r="169" spans="1:20">
      <c r="A169" s="67"/>
      <c r="B169" s="67"/>
      <c r="C169" s="67"/>
      <c r="D169" s="67"/>
      <c r="E169" s="67"/>
      <c r="F169" s="67"/>
      <c r="G169" s="67"/>
      <c r="H169" s="67"/>
      <c r="I169" s="67"/>
      <c r="J169" s="45"/>
      <c r="K169" s="67"/>
      <c r="L169" s="67"/>
      <c r="M169" s="67"/>
      <c r="N169" s="67"/>
      <c r="O169" s="67"/>
      <c r="P169" s="67"/>
      <c r="Q169" s="67"/>
      <c r="R169" s="67"/>
      <c r="S169" s="67"/>
      <c r="T169" s="45"/>
    </row>
    <row r="170" spans="1:20">
      <c r="A170" s="67"/>
      <c r="B170" s="67"/>
      <c r="C170" s="67"/>
      <c r="D170" s="67"/>
      <c r="E170" s="67"/>
      <c r="F170" s="67"/>
      <c r="G170" s="67"/>
      <c r="H170" s="67"/>
      <c r="I170" s="67"/>
      <c r="J170" s="45"/>
      <c r="K170" s="67"/>
      <c r="L170" s="67"/>
      <c r="M170" s="67"/>
      <c r="N170" s="67"/>
      <c r="O170" s="67"/>
      <c r="P170" s="67"/>
      <c r="Q170" s="67"/>
      <c r="R170" s="67"/>
      <c r="S170" s="67"/>
      <c r="T170" s="45"/>
    </row>
    <row r="171" spans="1:20">
      <c r="A171" s="67"/>
      <c r="B171" s="67"/>
      <c r="C171" s="67"/>
      <c r="D171" s="67"/>
      <c r="E171" s="67"/>
      <c r="F171" s="67"/>
      <c r="G171" s="67"/>
      <c r="H171" s="67"/>
      <c r="I171" s="67"/>
      <c r="J171" s="45"/>
      <c r="K171" s="67"/>
      <c r="L171" s="67"/>
      <c r="M171" s="67"/>
      <c r="N171" s="67"/>
      <c r="O171" s="67"/>
      <c r="P171" s="67"/>
      <c r="Q171" s="67"/>
      <c r="R171" s="67"/>
      <c r="S171" s="67"/>
      <c r="T171" s="45"/>
    </row>
    <row r="172" spans="1:20">
      <c r="A172" s="67"/>
      <c r="B172" s="67"/>
      <c r="C172" s="67"/>
      <c r="D172" s="67"/>
      <c r="E172" s="67"/>
      <c r="F172" s="67"/>
      <c r="G172" s="67"/>
      <c r="H172" s="67"/>
      <c r="I172" s="67"/>
      <c r="J172" s="45"/>
      <c r="K172" s="67"/>
      <c r="L172" s="67"/>
      <c r="M172" s="67"/>
      <c r="N172" s="67"/>
      <c r="O172" s="67"/>
      <c r="P172" s="67"/>
      <c r="Q172" s="67"/>
      <c r="R172" s="67"/>
      <c r="S172" s="67"/>
      <c r="T172" s="45"/>
    </row>
    <row r="173" spans="1:20">
      <c r="A173" s="67"/>
      <c r="B173" s="67"/>
      <c r="C173" s="67"/>
      <c r="D173" s="67"/>
      <c r="E173" s="67"/>
      <c r="F173" s="67"/>
      <c r="G173" s="67"/>
      <c r="H173" s="67"/>
      <c r="I173" s="67"/>
      <c r="J173" s="45"/>
      <c r="K173" s="67"/>
      <c r="L173" s="67"/>
      <c r="M173" s="67"/>
      <c r="N173" s="67"/>
      <c r="O173" s="67"/>
      <c r="P173" s="67"/>
      <c r="Q173" s="67"/>
      <c r="R173" s="67"/>
      <c r="S173" s="67"/>
      <c r="T173" s="45"/>
    </row>
    <row r="174" spans="1:20">
      <c r="A174" s="67"/>
      <c r="B174" s="67"/>
      <c r="C174" s="67"/>
      <c r="D174" s="67"/>
      <c r="E174" s="67"/>
      <c r="F174" s="67"/>
      <c r="G174" s="67"/>
      <c r="H174" s="67"/>
      <c r="I174" s="67"/>
      <c r="J174" s="45"/>
      <c r="K174" s="67"/>
      <c r="L174" s="67"/>
      <c r="M174" s="67"/>
      <c r="N174" s="67"/>
      <c r="O174" s="67"/>
      <c r="P174" s="67"/>
      <c r="Q174" s="67"/>
      <c r="R174" s="67"/>
      <c r="S174" s="67"/>
      <c r="T174" s="45"/>
    </row>
    <row r="175" spans="1:20">
      <c r="A175" s="67"/>
      <c r="B175" s="67"/>
      <c r="C175" s="67"/>
      <c r="D175" s="67"/>
      <c r="E175" s="67"/>
      <c r="F175" s="67"/>
      <c r="G175" s="67"/>
      <c r="H175" s="67"/>
      <c r="I175" s="67"/>
      <c r="J175" s="45"/>
      <c r="K175" s="67"/>
      <c r="L175" s="67"/>
      <c r="M175" s="67"/>
      <c r="N175" s="67"/>
      <c r="O175" s="67"/>
      <c r="P175" s="67"/>
      <c r="Q175" s="67"/>
      <c r="R175" s="67"/>
      <c r="S175" s="67"/>
      <c r="T175" s="45"/>
    </row>
    <row r="176" spans="1:20">
      <c r="A176" s="67"/>
      <c r="B176" s="67"/>
      <c r="C176" s="67"/>
      <c r="D176" s="67"/>
      <c r="E176" s="67"/>
      <c r="F176" s="67"/>
      <c r="G176" s="67"/>
      <c r="H176" s="67"/>
      <c r="I176" s="67"/>
      <c r="J176" s="45"/>
      <c r="K176" s="67"/>
      <c r="L176" s="67"/>
      <c r="M176" s="67"/>
      <c r="N176" s="67"/>
      <c r="O176" s="67"/>
      <c r="P176" s="67"/>
      <c r="Q176" s="67"/>
      <c r="R176" s="67"/>
      <c r="S176" s="67"/>
      <c r="T176" s="45"/>
    </row>
    <row r="177" spans="1:20">
      <c r="A177" s="67"/>
      <c r="B177" s="67"/>
      <c r="C177" s="67"/>
      <c r="D177" s="67"/>
      <c r="E177" s="67"/>
      <c r="F177" s="67"/>
      <c r="G177" s="67"/>
      <c r="H177" s="67"/>
      <c r="I177" s="67"/>
      <c r="J177" s="45"/>
      <c r="K177" s="67"/>
      <c r="L177" s="67"/>
      <c r="M177" s="67"/>
      <c r="N177" s="67"/>
      <c r="O177" s="67"/>
      <c r="P177" s="67"/>
      <c r="Q177" s="67"/>
      <c r="R177" s="67"/>
      <c r="S177" s="67"/>
      <c r="T177" s="45"/>
    </row>
    <row r="178" spans="1:20">
      <c r="A178" s="67"/>
      <c r="B178" s="67"/>
      <c r="C178" s="67"/>
      <c r="D178" s="67"/>
      <c r="E178" s="67"/>
      <c r="F178" s="67"/>
      <c r="G178" s="67"/>
      <c r="H178" s="67"/>
      <c r="I178" s="67"/>
      <c r="J178" s="45"/>
      <c r="K178" s="67"/>
      <c r="L178" s="67"/>
      <c r="M178" s="67"/>
      <c r="N178" s="67"/>
      <c r="O178" s="67"/>
      <c r="P178" s="67"/>
      <c r="Q178" s="67"/>
      <c r="R178" s="67"/>
      <c r="S178" s="67"/>
      <c r="T178" s="45"/>
    </row>
    <row r="179" spans="1:20">
      <c r="A179" s="67"/>
      <c r="B179" s="67"/>
      <c r="C179" s="67"/>
      <c r="D179" s="67"/>
      <c r="E179" s="67"/>
      <c r="F179" s="67"/>
      <c r="G179" s="67"/>
      <c r="H179" s="67"/>
      <c r="I179" s="67"/>
      <c r="J179" s="45"/>
      <c r="K179" s="67"/>
      <c r="L179" s="67"/>
      <c r="M179" s="67"/>
      <c r="N179" s="67"/>
      <c r="O179" s="67"/>
      <c r="P179" s="67"/>
      <c r="Q179" s="67"/>
      <c r="R179" s="67"/>
      <c r="S179" s="67"/>
      <c r="T179" s="45"/>
    </row>
    <row r="180" spans="1:20">
      <c r="A180" s="67"/>
      <c r="B180" s="67"/>
      <c r="C180" s="67"/>
      <c r="D180" s="67"/>
      <c r="E180" s="67"/>
      <c r="F180" s="67"/>
      <c r="G180" s="67"/>
      <c r="H180" s="67"/>
      <c r="I180" s="67"/>
      <c r="J180" s="45"/>
      <c r="K180" s="67"/>
      <c r="L180" s="67"/>
      <c r="M180" s="67"/>
      <c r="N180" s="67"/>
      <c r="O180" s="67"/>
      <c r="P180" s="67"/>
      <c r="Q180" s="67"/>
      <c r="R180" s="67"/>
      <c r="S180" s="67"/>
      <c r="T180" s="45"/>
    </row>
    <row r="181" spans="1:20">
      <c r="A181" s="67"/>
      <c r="B181" s="67"/>
      <c r="C181" s="67"/>
      <c r="D181" s="67"/>
      <c r="E181" s="67"/>
      <c r="F181" s="67"/>
      <c r="G181" s="67"/>
      <c r="H181" s="67"/>
      <c r="I181" s="67"/>
      <c r="J181" s="45"/>
      <c r="K181" s="67"/>
      <c r="L181" s="67"/>
      <c r="M181" s="67"/>
      <c r="N181" s="67"/>
      <c r="O181" s="67"/>
      <c r="P181" s="67"/>
      <c r="Q181" s="67"/>
      <c r="R181" s="67"/>
      <c r="S181" s="67"/>
      <c r="T181" s="45"/>
    </row>
    <row r="182" spans="1:20">
      <c r="A182" s="67"/>
      <c r="B182" s="67"/>
      <c r="C182" s="67"/>
      <c r="D182" s="67"/>
      <c r="E182" s="67"/>
      <c r="F182" s="67"/>
      <c r="G182" s="67"/>
      <c r="H182" s="67"/>
      <c r="I182" s="67"/>
      <c r="J182" s="45"/>
      <c r="K182" s="67"/>
      <c r="L182" s="67"/>
      <c r="M182" s="67"/>
      <c r="N182" s="67"/>
      <c r="O182" s="67"/>
      <c r="P182" s="67"/>
      <c r="Q182" s="67"/>
      <c r="R182" s="67"/>
      <c r="S182" s="67"/>
      <c r="T182" s="45"/>
    </row>
    <row r="183" spans="1:20" ht="15" customHeight="1">
      <c r="A183" s="67"/>
      <c r="B183" s="67"/>
      <c r="C183" s="67"/>
      <c r="D183" s="67"/>
      <c r="E183" s="67"/>
      <c r="F183" s="67"/>
      <c r="G183" s="67"/>
      <c r="H183" s="67"/>
      <c r="I183" s="67"/>
      <c r="J183" s="45"/>
      <c r="K183" s="67"/>
      <c r="L183" s="67"/>
      <c r="M183" s="67"/>
      <c r="N183" s="67"/>
      <c r="O183" s="67"/>
      <c r="P183" s="67"/>
      <c r="Q183" s="67"/>
      <c r="R183" s="67"/>
      <c r="S183" s="67"/>
      <c r="T183" s="45"/>
    </row>
    <row r="184" spans="1:20">
      <c r="A184" s="67"/>
      <c r="B184" s="67"/>
      <c r="C184" s="67"/>
      <c r="D184" s="67"/>
      <c r="E184" s="67"/>
      <c r="F184" s="67"/>
      <c r="G184" s="67"/>
      <c r="H184" s="67"/>
      <c r="I184" s="67"/>
      <c r="J184" s="45"/>
      <c r="K184" s="67"/>
      <c r="L184" s="67"/>
      <c r="M184" s="67"/>
      <c r="N184" s="67"/>
      <c r="O184" s="67"/>
      <c r="P184" s="67"/>
      <c r="Q184" s="67"/>
      <c r="R184" s="67"/>
      <c r="S184" s="67"/>
      <c r="T184" s="45"/>
    </row>
    <row r="185" spans="1:20">
      <c r="A185" s="67"/>
      <c r="B185" s="67"/>
      <c r="C185" s="67"/>
      <c r="D185" s="67"/>
      <c r="E185" s="67"/>
      <c r="F185" s="67"/>
      <c r="G185" s="67"/>
      <c r="H185" s="67"/>
      <c r="I185" s="67"/>
      <c r="J185" s="45"/>
      <c r="K185" s="67"/>
      <c r="L185" s="67"/>
      <c r="M185" s="67"/>
      <c r="N185" s="67"/>
      <c r="O185" s="67"/>
      <c r="P185" s="67"/>
      <c r="Q185" s="67"/>
      <c r="R185" s="67"/>
      <c r="S185" s="67"/>
      <c r="T185" s="45"/>
    </row>
    <row r="186" spans="1:20">
      <c r="A186" s="67"/>
      <c r="B186" s="67"/>
      <c r="C186" s="67"/>
      <c r="D186" s="67"/>
      <c r="E186" s="67"/>
      <c r="F186" s="67"/>
      <c r="G186" s="67"/>
      <c r="H186" s="67"/>
      <c r="I186" s="67"/>
      <c r="J186" s="45"/>
      <c r="K186" s="67"/>
      <c r="L186" s="67"/>
      <c r="M186" s="67"/>
      <c r="N186" s="67"/>
      <c r="O186" s="67"/>
      <c r="P186" s="67"/>
      <c r="Q186" s="67"/>
      <c r="R186" s="67"/>
      <c r="S186" s="67"/>
      <c r="T186" s="45"/>
    </row>
    <row r="187" spans="1:20">
      <c r="A187" s="67"/>
      <c r="B187" s="67"/>
      <c r="C187" s="67"/>
      <c r="D187" s="67"/>
      <c r="E187" s="67"/>
      <c r="F187" s="67"/>
      <c r="G187" s="67"/>
      <c r="H187" s="67"/>
      <c r="I187" s="67"/>
      <c r="J187" s="45"/>
      <c r="K187" s="67"/>
      <c r="L187" s="67"/>
      <c r="M187" s="67"/>
      <c r="N187" s="67"/>
      <c r="O187" s="67"/>
      <c r="P187" s="67"/>
      <c r="Q187" s="67"/>
      <c r="R187" s="67"/>
      <c r="S187" s="67"/>
      <c r="T187" s="45"/>
    </row>
    <row r="188" spans="1:20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</row>
    <row r="189" spans="1:20">
      <c r="A189" s="65" t="s">
        <v>125</v>
      </c>
      <c r="B189" s="64"/>
      <c r="C189" s="64"/>
      <c r="D189" s="64"/>
      <c r="E189" s="64"/>
      <c r="F189" s="64"/>
      <c r="G189" s="64"/>
      <c r="H189" s="64"/>
      <c r="I189" s="64"/>
      <c r="J189" s="66" t="s">
        <v>388</v>
      </c>
      <c r="K189" s="65" t="s">
        <v>389</v>
      </c>
      <c r="L189" s="64"/>
      <c r="M189" s="64"/>
      <c r="N189" s="64"/>
      <c r="O189" s="64"/>
      <c r="P189" s="64"/>
      <c r="Q189" s="64"/>
      <c r="R189" s="64"/>
      <c r="S189" s="64"/>
      <c r="T189" s="66" t="s">
        <v>390</v>
      </c>
    </row>
    <row r="190" spans="1:20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45"/>
      <c r="T190" s="45"/>
    </row>
    <row r="191" spans="1:20" ht="15" customHeight="1">
      <c r="A191" s="69" t="s">
        <v>277</v>
      </c>
      <c r="B191" s="67"/>
      <c r="C191" s="67"/>
      <c r="D191" s="67"/>
      <c r="E191" s="67"/>
      <c r="F191" s="67"/>
      <c r="G191" s="45"/>
      <c r="H191" s="35" t="s">
        <v>278</v>
      </c>
      <c r="I191" s="35" t="s">
        <v>279</v>
      </c>
      <c r="J191" s="35" t="s">
        <v>280</v>
      </c>
      <c r="K191" s="67"/>
      <c r="L191" s="67"/>
      <c r="M191" s="67"/>
      <c r="N191" s="67"/>
      <c r="O191" s="67"/>
      <c r="P191" s="67"/>
      <c r="Q191" s="67"/>
      <c r="R191" s="67"/>
      <c r="S191" s="45"/>
      <c r="T191" s="45"/>
    </row>
    <row r="192" spans="1:20" ht="15" customHeight="1">
      <c r="A192" s="67" t="s">
        <v>391</v>
      </c>
      <c r="B192" s="67"/>
      <c r="C192" s="67"/>
      <c r="D192" s="67"/>
      <c r="E192" s="67"/>
      <c r="F192" s="67"/>
      <c r="G192" s="45"/>
      <c r="H192" s="76" t="str">
        <f>Elaborazione!$C$37</f>
        <v>e</v>
      </c>
      <c r="I192" s="70">
        <f>Elaborazione!$C$39</f>
        <v>2.2200000000000002</v>
      </c>
      <c r="J192" s="70" t="str">
        <f>Elaborazione!$C$38</f>
        <v>V/spira</v>
      </c>
      <c r="K192" s="67"/>
      <c r="L192" s="67"/>
      <c r="M192" s="67"/>
      <c r="N192" s="67"/>
      <c r="O192" s="67"/>
      <c r="P192" s="67"/>
      <c r="Q192" s="67"/>
      <c r="R192" s="67"/>
      <c r="S192" s="45"/>
      <c r="T192" s="45"/>
    </row>
    <row r="193" spans="1:20" ht="15" customHeight="1">
      <c r="A193" s="67"/>
      <c r="B193" s="67"/>
      <c r="C193" s="67"/>
      <c r="D193" s="67"/>
      <c r="E193" s="67"/>
      <c r="F193" s="67"/>
      <c r="G193" s="45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45"/>
      <c r="T193" s="45"/>
    </row>
    <row r="194" spans="1:20">
      <c r="A194" s="67" t="s">
        <v>392</v>
      </c>
      <c r="B194" s="67"/>
      <c r="C194" s="67"/>
      <c r="D194" s="67"/>
      <c r="E194" s="67"/>
      <c r="F194" s="67"/>
      <c r="G194" s="45"/>
      <c r="H194" s="70" t="str">
        <f>Elaborazione!$E$37</f>
        <v>N₁</v>
      </c>
      <c r="I194" s="70">
        <f>Elaborazione!$E$39</f>
        <v>2872</v>
      </c>
      <c r="J194" s="70" t="str">
        <f>Elaborazione!$E$38</f>
        <v>spire</v>
      </c>
      <c r="K194" s="67"/>
      <c r="L194" s="67"/>
      <c r="M194" s="67"/>
      <c r="N194" s="67"/>
      <c r="O194" s="67"/>
      <c r="P194" s="67"/>
      <c r="Q194" s="67"/>
      <c r="R194" s="67"/>
      <c r="S194" s="45"/>
      <c r="T194" s="45"/>
    </row>
    <row r="195" spans="1:20">
      <c r="A195" s="108" t="s">
        <v>594</v>
      </c>
      <c r="B195" s="67"/>
      <c r="C195" s="67"/>
      <c r="D195" s="67"/>
      <c r="E195" s="67"/>
      <c r="F195" s="67"/>
      <c r="G195" s="45"/>
      <c r="H195" s="70" t="str">
        <f>Elaborazione!$D$37</f>
        <v>Nr</v>
      </c>
      <c r="I195" s="70">
        <f>Elaborazione!$D$39</f>
        <v>180</v>
      </c>
      <c r="J195" s="70" t="str">
        <f>Elaborazione!$D$38</f>
        <v>spire</v>
      </c>
      <c r="K195" s="67"/>
      <c r="L195" s="67"/>
      <c r="M195" s="67"/>
      <c r="N195" s="67"/>
      <c r="O195" s="67"/>
      <c r="P195" s="67"/>
      <c r="Q195" s="67"/>
      <c r="R195" s="67"/>
      <c r="S195" s="45"/>
      <c r="T195" s="45"/>
    </row>
    <row r="196" spans="1:20">
      <c r="K196" s="67"/>
      <c r="L196" s="67"/>
      <c r="M196" s="67"/>
      <c r="N196" s="67"/>
      <c r="O196" s="67"/>
      <c r="P196" s="67"/>
      <c r="Q196" s="67"/>
      <c r="R196" s="67"/>
      <c r="S196" s="45"/>
      <c r="T196" s="45"/>
    </row>
    <row r="197" spans="1:20">
      <c r="A197" s="67" t="s">
        <v>393</v>
      </c>
      <c r="B197" s="67"/>
      <c r="C197" s="67"/>
      <c r="D197" s="67"/>
      <c r="E197" s="67"/>
      <c r="F197" s="67"/>
      <c r="G197" s="45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45"/>
      <c r="T197" s="45"/>
    </row>
    <row r="198" spans="1:20">
      <c r="A198" s="67" t="s">
        <v>595</v>
      </c>
      <c r="B198" s="67"/>
      <c r="C198" s="67"/>
      <c r="D198" s="67"/>
      <c r="E198" s="67"/>
      <c r="F198" s="67"/>
      <c r="G198" s="45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45"/>
      <c r="T198" s="45"/>
    </row>
    <row r="199" spans="1:20">
      <c r="A199" s="67"/>
      <c r="B199" s="67"/>
      <c r="C199" s="67"/>
      <c r="D199" s="67"/>
      <c r="E199" s="67"/>
      <c r="F199" s="67"/>
      <c r="G199" s="45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45"/>
      <c r="T199" s="45"/>
    </row>
    <row r="200" spans="1:20">
      <c r="A200" s="67" t="s">
        <v>394</v>
      </c>
      <c r="B200" s="67"/>
      <c r="C200" s="67"/>
      <c r="D200" s="67"/>
      <c r="E200" s="67"/>
      <c r="F200" s="67"/>
      <c r="G200" s="45"/>
      <c r="H200" s="70" t="str">
        <f>Elaborazione!$F$49</f>
        <v>Ns₁ok</v>
      </c>
      <c r="I200" s="70">
        <f>Elaborazione!$F$51</f>
        <v>191</v>
      </c>
      <c r="J200" s="70" t="str">
        <f>Elaborazione!$F$50</f>
        <v>spire</v>
      </c>
      <c r="K200" s="67"/>
      <c r="L200" s="67"/>
      <c r="M200" s="67"/>
      <c r="N200" s="67"/>
      <c r="O200" s="67"/>
      <c r="P200" s="67"/>
      <c r="Q200" s="67"/>
      <c r="R200" s="67"/>
      <c r="S200" s="45"/>
      <c r="T200" s="45"/>
    </row>
    <row r="201" spans="1:20">
      <c r="A201" s="67" t="s">
        <v>395</v>
      </c>
      <c r="B201" s="67"/>
      <c r="C201" s="67"/>
      <c r="D201" s="67"/>
      <c r="E201" s="67"/>
      <c r="F201" s="67"/>
      <c r="G201" s="45"/>
      <c r="H201" s="70" t="str">
        <f>Elaborazione!$I$49</f>
        <v>N₁strati</v>
      </c>
      <c r="I201" s="70">
        <f>Elaborazione!$I$51</f>
        <v>15</v>
      </c>
      <c r="J201" s="70" t="str">
        <f>Elaborazione!$I$50</f>
        <v>strati</v>
      </c>
      <c r="K201" s="67"/>
      <c r="L201" s="67"/>
      <c r="M201" s="67"/>
      <c r="N201" s="67"/>
      <c r="O201" s="67"/>
      <c r="P201" s="67"/>
      <c r="Q201" s="67"/>
      <c r="R201" s="67"/>
      <c r="S201" s="45"/>
      <c r="T201" s="45"/>
    </row>
    <row r="202" spans="1:20">
      <c r="A202" s="67" t="s">
        <v>396</v>
      </c>
      <c r="B202" s="67"/>
      <c r="C202" s="67"/>
      <c r="D202" s="67"/>
      <c r="E202" s="67"/>
      <c r="F202" s="67"/>
      <c r="G202" s="45"/>
      <c r="H202" s="70" t="str">
        <f>Elaborazione!$J$49</f>
        <v>N₁str-ecc</v>
      </c>
      <c r="I202" s="70">
        <f>Elaborazione!$J$51</f>
        <v>1</v>
      </c>
      <c r="J202" s="70" t="str">
        <f>Elaborazione!$J$50</f>
        <v>strati</v>
      </c>
      <c r="K202" s="67"/>
      <c r="L202" s="67"/>
      <c r="M202" s="67"/>
      <c r="N202" s="67"/>
      <c r="O202" s="67"/>
      <c r="P202" s="67"/>
      <c r="Q202" s="67"/>
      <c r="R202" s="67"/>
      <c r="S202" s="45"/>
      <c r="T202" s="45"/>
    </row>
    <row r="203" spans="1:20">
      <c r="A203" s="67" t="s">
        <v>397</v>
      </c>
      <c r="B203" s="67"/>
      <c r="C203" s="67"/>
      <c r="D203" s="67"/>
      <c r="E203" s="67"/>
      <c r="F203" s="67"/>
      <c r="G203" s="45"/>
      <c r="H203" s="70" t="str">
        <f>Elaborazione!$K$49</f>
        <v>N₁sp-ecc</v>
      </c>
      <c r="I203" s="70">
        <f>Elaborazione!$K$51</f>
        <v>7</v>
      </c>
      <c r="J203" s="70" t="str">
        <f>Elaborazione!$K$50</f>
        <v>spire</v>
      </c>
      <c r="K203" s="67"/>
      <c r="L203" s="67"/>
      <c r="M203" s="67"/>
      <c r="N203" s="67"/>
      <c r="O203" s="67"/>
      <c r="P203" s="67"/>
      <c r="Q203" s="67"/>
      <c r="R203" s="67"/>
      <c r="S203" s="45"/>
      <c r="T203" s="45"/>
    </row>
    <row r="204" spans="1:20">
      <c r="A204" s="67"/>
      <c r="B204" s="67"/>
      <c r="C204" s="67"/>
      <c r="D204" s="67"/>
      <c r="E204" s="67"/>
      <c r="F204" s="67"/>
      <c r="G204" s="45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45"/>
      <c r="T204" s="45"/>
    </row>
    <row r="205" spans="1:20">
      <c r="A205" s="67" t="s">
        <v>398</v>
      </c>
      <c r="B205" s="67"/>
      <c r="C205" s="67"/>
      <c r="D205" s="67"/>
      <c r="E205" s="67"/>
      <c r="F205" s="67"/>
      <c r="G205" s="45"/>
      <c r="H205" s="70" t="str">
        <f>Elaborazione!$F$37</f>
        <v>N₂</v>
      </c>
      <c r="I205" s="70">
        <f>Elaborazione!$F$39</f>
        <v>102</v>
      </c>
      <c r="J205" s="70" t="str">
        <f>Elaborazione!$F$38</f>
        <v>spire</v>
      </c>
      <c r="K205" s="67"/>
      <c r="L205" s="67"/>
      <c r="M205" s="67"/>
      <c r="N205" s="67"/>
      <c r="O205" s="67"/>
      <c r="P205" s="67"/>
      <c r="Q205" s="67"/>
      <c r="R205" s="67"/>
      <c r="S205" s="45"/>
      <c r="T205" s="45"/>
    </row>
    <row r="206" spans="1:20">
      <c r="A206" s="67"/>
      <c r="B206" s="67"/>
      <c r="C206" s="67"/>
      <c r="D206" s="67"/>
      <c r="E206" s="67"/>
      <c r="F206" s="67"/>
      <c r="G206" s="45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45"/>
      <c r="T206" s="45"/>
    </row>
    <row r="207" spans="1:20">
      <c r="A207" s="67" t="s">
        <v>393</v>
      </c>
      <c r="B207" s="67"/>
      <c r="C207" s="67"/>
      <c r="D207" s="67"/>
      <c r="E207" s="67"/>
      <c r="F207" s="67"/>
      <c r="G207" s="45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45"/>
      <c r="T207" s="45"/>
    </row>
    <row r="208" spans="1:20">
      <c r="A208" s="67" t="s">
        <v>596</v>
      </c>
      <c r="B208" s="67"/>
      <c r="C208" s="67"/>
      <c r="D208" s="67"/>
      <c r="E208" s="67"/>
      <c r="F208" s="67"/>
      <c r="G208" s="45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45"/>
      <c r="T208" s="45"/>
    </row>
    <row r="209" spans="1:20">
      <c r="A209" s="67"/>
      <c r="B209" s="67"/>
      <c r="C209" s="67"/>
      <c r="D209" s="67"/>
      <c r="E209" s="67"/>
      <c r="F209" s="67"/>
      <c r="G209" s="45"/>
      <c r="H209" s="67"/>
      <c r="I209" s="70"/>
      <c r="J209" s="70"/>
      <c r="K209" s="67"/>
      <c r="L209" s="67"/>
      <c r="M209" s="67"/>
      <c r="N209" s="67"/>
      <c r="O209" s="67"/>
      <c r="P209" s="67"/>
      <c r="Q209" s="67"/>
      <c r="R209" s="67"/>
      <c r="S209" s="45"/>
      <c r="T209" s="45"/>
    </row>
    <row r="210" spans="1:20">
      <c r="A210" s="67" t="s">
        <v>399</v>
      </c>
      <c r="B210" s="67"/>
      <c r="C210" s="67"/>
      <c r="D210" s="67"/>
      <c r="E210" s="67"/>
      <c r="F210" s="67"/>
      <c r="G210" s="45"/>
      <c r="H210" s="70" t="str">
        <f>Elaborazione!$F$61</f>
        <v>Ns₂ok</v>
      </c>
      <c r="I210" s="70">
        <f>Elaborazione!$F$63</f>
        <v>78</v>
      </c>
      <c r="J210" s="70" t="str">
        <f>Elaborazione!$F$62</f>
        <v>spire</v>
      </c>
      <c r="K210" s="67"/>
      <c r="L210" s="67"/>
      <c r="M210" s="67"/>
      <c r="N210" s="67"/>
      <c r="O210" s="67"/>
      <c r="P210" s="67"/>
      <c r="Q210" s="67"/>
      <c r="R210" s="67"/>
      <c r="S210" s="45"/>
      <c r="T210" s="45"/>
    </row>
    <row r="211" spans="1:20">
      <c r="A211" s="67" t="s">
        <v>400</v>
      </c>
      <c r="B211" s="67"/>
      <c r="C211" s="67"/>
      <c r="D211" s="67"/>
      <c r="E211" s="67"/>
      <c r="F211" s="67"/>
      <c r="G211" s="45"/>
      <c r="H211" s="70" t="str">
        <f>Elaborazione!$I$61</f>
        <v>N₂strati</v>
      </c>
      <c r="I211" s="70">
        <f>Elaborazione!$I$63</f>
        <v>1</v>
      </c>
      <c r="J211" s="70" t="str">
        <f>Elaborazione!$I$62</f>
        <v>strati</v>
      </c>
      <c r="K211" s="67"/>
      <c r="L211" s="67"/>
      <c r="M211" s="67"/>
      <c r="N211" s="67"/>
      <c r="O211" s="67"/>
      <c r="P211" s="67"/>
      <c r="Q211" s="67"/>
      <c r="R211" s="67"/>
      <c r="S211" s="45"/>
      <c r="T211" s="45"/>
    </row>
    <row r="212" spans="1:20">
      <c r="A212" s="67" t="s">
        <v>401</v>
      </c>
      <c r="B212" s="67"/>
      <c r="C212" s="67"/>
      <c r="D212" s="67"/>
      <c r="E212" s="67"/>
      <c r="F212" s="67"/>
      <c r="G212" s="45"/>
      <c r="H212" s="70" t="str">
        <f>Elaborazione!$J$61</f>
        <v>N₂str-ecc</v>
      </c>
      <c r="I212" s="70">
        <f>Elaborazione!$J$63</f>
        <v>1</v>
      </c>
      <c r="J212" s="70" t="str">
        <f>Elaborazione!$J$62</f>
        <v>strati</v>
      </c>
      <c r="K212" s="67"/>
      <c r="L212" s="67"/>
      <c r="M212" s="67"/>
      <c r="N212" s="67"/>
      <c r="O212" s="67"/>
      <c r="P212" s="67"/>
      <c r="Q212" s="67"/>
      <c r="R212" s="67"/>
      <c r="S212" s="45"/>
      <c r="T212" s="45"/>
    </row>
    <row r="213" spans="1:20">
      <c r="A213" s="67" t="s">
        <v>402</v>
      </c>
      <c r="B213" s="67"/>
      <c r="C213" s="67"/>
      <c r="D213" s="67"/>
      <c r="E213" s="67"/>
      <c r="F213" s="67"/>
      <c r="G213" s="45"/>
      <c r="H213" s="70" t="str">
        <f>Elaborazione!$K$61</f>
        <v>N₂sp-ecc</v>
      </c>
      <c r="I213" s="70">
        <f>Elaborazione!$K$63</f>
        <v>24</v>
      </c>
      <c r="J213" s="70" t="str">
        <f>Elaborazione!$K$62</f>
        <v>spire</v>
      </c>
      <c r="K213" s="67"/>
      <c r="L213" s="67"/>
      <c r="M213" s="67"/>
      <c r="N213" s="67"/>
      <c r="O213" s="67"/>
      <c r="P213" s="67"/>
      <c r="Q213" s="67"/>
      <c r="R213" s="67"/>
      <c r="S213" s="45"/>
      <c r="T213" s="45"/>
    </row>
    <row r="214" spans="1:20">
      <c r="A214" s="67"/>
      <c r="B214" s="67"/>
      <c r="C214" s="67"/>
      <c r="D214" s="67"/>
      <c r="E214" s="67"/>
      <c r="F214" s="67"/>
      <c r="G214" s="45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45"/>
      <c r="T214" s="45"/>
    </row>
    <row r="215" spans="1:20">
      <c r="A215" s="67"/>
      <c r="B215" s="67"/>
      <c r="C215" s="67"/>
      <c r="D215" s="67"/>
      <c r="E215" s="67"/>
      <c r="F215" s="67"/>
      <c r="G215" s="45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45"/>
      <c r="T215" s="45"/>
    </row>
    <row r="216" spans="1:20">
      <c r="A216" s="67"/>
      <c r="B216" s="67"/>
      <c r="C216" s="67"/>
      <c r="D216" s="67"/>
      <c r="E216" s="67"/>
      <c r="F216" s="67"/>
      <c r="G216" s="45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45"/>
      <c r="T216" s="45"/>
    </row>
    <row r="217" spans="1:20">
      <c r="A217" s="67" t="s">
        <v>403</v>
      </c>
      <c r="B217" s="67"/>
      <c r="C217" s="67"/>
      <c r="D217" s="67"/>
      <c r="E217" s="67"/>
      <c r="F217" s="67"/>
      <c r="G217" s="45"/>
      <c r="H217" s="70" t="str">
        <f>Elaborazione!$G$37</f>
        <v>s₁</v>
      </c>
      <c r="I217" s="77">
        <f>Elaborazione!$G$39</f>
        <v>0.4334461480402596</v>
      </c>
      <c r="J217" s="70" t="str">
        <f>Elaborazione!$G$38</f>
        <v>mm²</v>
      </c>
      <c r="K217" s="67"/>
      <c r="L217" s="67"/>
      <c r="M217" s="67"/>
      <c r="N217" s="67"/>
      <c r="O217" s="67"/>
      <c r="P217" s="67"/>
      <c r="Q217" s="67"/>
      <c r="R217" s="67"/>
      <c r="S217" s="45"/>
      <c r="T217" s="45"/>
    </row>
    <row r="218" spans="1:20">
      <c r="A218" s="67" t="s">
        <v>404</v>
      </c>
      <c r="B218" s="67"/>
      <c r="C218" s="67"/>
      <c r="D218" s="67"/>
      <c r="E218" s="67"/>
      <c r="F218" s="67"/>
      <c r="G218" s="45"/>
      <c r="H218" s="70" t="str">
        <f>Elaborazione!$N$72</f>
        <v>S₁ indust.</v>
      </c>
      <c r="I218" s="77">
        <f>Elaborazione!$N$74</f>
        <v>0.44156000000000001</v>
      </c>
      <c r="J218" s="70" t="str">
        <f>Elaborazione!$N$73</f>
        <v>mm²</v>
      </c>
      <c r="K218" s="67"/>
      <c r="L218" s="67"/>
      <c r="M218" s="67"/>
      <c r="N218" s="67"/>
      <c r="O218" s="67"/>
      <c r="P218" s="67"/>
      <c r="Q218" s="67"/>
      <c r="R218" s="67"/>
      <c r="S218" s="45"/>
      <c r="T218" s="45"/>
    </row>
    <row r="219" spans="1:20">
      <c r="A219" s="67" t="s">
        <v>405</v>
      </c>
      <c r="B219" s="67"/>
      <c r="C219" s="67"/>
      <c r="D219" s="67"/>
      <c r="E219" s="67"/>
      <c r="F219" s="67"/>
      <c r="G219" s="45"/>
      <c r="H219" s="70" t="str">
        <f>Elaborazione!$O$72</f>
        <v>ø nom.</v>
      </c>
      <c r="I219" s="77">
        <f>Elaborazione!$O$74</f>
        <v>0.75</v>
      </c>
      <c r="J219" s="70" t="str">
        <f>Elaborazione!$O$73</f>
        <v>mm</v>
      </c>
      <c r="K219" s="67"/>
      <c r="L219" s="67"/>
      <c r="M219" s="67"/>
      <c r="N219" s="67"/>
      <c r="O219" s="67"/>
      <c r="P219" s="67"/>
      <c r="Q219" s="67"/>
      <c r="R219" s="67"/>
      <c r="S219" s="45"/>
      <c r="T219" s="45"/>
    </row>
    <row r="220" spans="1:20">
      <c r="A220" s="67" t="s">
        <v>406</v>
      </c>
      <c r="B220" s="67"/>
      <c r="C220" s="67"/>
      <c r="D220" s="67"/>
      <c r="E220" s="67"/>
      <c r="F220" s="67"/>
      <c r="G220" s="45"/>
      <c r="H220" s="70" t="str">
        <f>Elaborazione!$P$72</f>
        <v>semplice</v>
      </c>
      <c r="I220" s="77">
        <f>Elaborazione!$P$74</f>
        <v>0.80900000000000005</v>
      </c>
      <c r="J220" s="70" t="str">
        <f>Elaborazione!$P$73</f>
        <v>mm</v>
      </c>
      <c r="K220" s="67"/>
      <c r="L220" s="67"/>
      <c r="M220" s="67"/>
      <c r="N220" s="67"/>
      <c r="O220" s="67"/>
      <c r="P220" s="67"/>
      <c r="Q220" s="67"/>
      <c r="R220" s="67"/>
      <c r="S220" s="45"/>
      <c r="T220" s="45"/>
    </row>
    <row r="221" spans="1:20">
      <c r="A221" s="67" t="s">
        <v>407</v>
      </c>
      <c r="B221" s="67"/>
      <c r="C221" s="67"/>
      <c r="D221" s="67"/>
      <c r="E221" s="67"/>
      <c r="F221" s="67"/>
      <c r="G221" s="45"/>
      <c r="H221" s="70" t="str">
        <f>Elaborazione!$Q$72</f>
        <v>doppio</v>
      </c>
      <c r="I221" s="77">
        <f>Elaborazione!$Q$74</f>
        <v>0.83199999999999996</v>
      </c>
      <c r="J221" s="70" t="str">
        <f>Elaborazione!$Q$73</f>
        <v>mm</v>
      </c>
      <c r="K221" s="67"/>
      <c r="L221" s="67"/>
      <c r="M221" s="67"/>
      <c r="N221" s="67"/>
      <c r="O221" s="67"/>
      <c r="P221" s="67"/>
      <c r="Q221" s="67"/>
      <c r="R221" s="67"/>
      <c r="S221" s="45"/>
      <c r="T221" s="45"/>
    </row>
    <row r="222" spans="1:20">
      <c r="A222" s="67" t="s">
        <v>408</v>
      </c>
      <c r="B222" s="67"/>
      <c r="C222" s="67"/>
      <c r="D222" s="67"/>
      <c r="E222" s="67"/>
      <c r="F222" s="67"/>
      <c r="G222" s="45"/>
      <c r="H222" s="70" t="str">
        <f>Elaborazione!$R$72</f>
        <v>triplo</v>
      </c>
      <c r="I222" s="77">
        <f>Elaborazione!$R$74</f>
        <v>0.85799999999999998</v>
      </c>
      <c r="J222" s="70" t="str">
        <f>Elaborazione!$R$73</f>
        <v>mm</v>
      </c>
      <c r="K222" s="67"/>
      <c r="L222" s="67"/>
      <c r="M222" s="67"/>
      <c r="N222" s="67"/>
      <c r="O222" s="67"/>
      <c r="P222" s="67"/>
      <c r="Q222" s="67"/>
      <c r="R222" s="67"/>
      <c r="S222" s="45"/>
      <c r="T222" s="45"/>
    </row>
    <row r="223" spans="1:20">
      <c r="A223" s="67"/>
      <c r="B223" s="67"/>
      <c r="C223" s="67"/>
      <c r="D223" s="67"/>
      <c r="E223" s="67"/>
      <c r="F223" s="67"/>
      <c r="G223" s="45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45"/>
      <c r="T223" s="45"/>
    </row>
    <row r="224" spans="1:20">
      <c r="A224" s="67" t="s">
        <v>409</v>
      </c>
      <c r="B224" s="67"/>
      <c r="C224" s="67"/>
      <c r="D224" s="67"/>
      <c r="E224" s="67"/>
      <c r="F224" s="67"/>
      <c r="G224" s="45"/>
      <c r="H224" s="70" t="str">
        <f>Elaborazione!$H$37</f>
        <v>s₂</v>
      </c>
      <c r="I224" s="77">
        <f>Elaborazione!$H$39</f>
        <v>19.991352811275132</v>
      </c>
      <c r="J224" s="70" t="str">
        <f>Elaborazione!$H$38</f>
        <v>mm²</v>
      </c>
      <c r="K224" s="67"/>
      <c r="L224" s="67"/>
      <c r="M224" s="67"/>
      <c r="N224" s="67"/>
      <c r="O224" s="67"/>
      <c r="P224" s="67"/>
      <c r="Q224" s="67"/>
      <c r="R224" s="67"/>
      <c r="S224" s="45"/>
      <c r="T224" s="45"/>
    </row>
    <row r="225" spans="1:20">
      <c r="A225" s="67" t="s">
        <v>410</v>
      </c>
      <c r="B225" s="67"/>
      <c r="C225" s="67"/>
      <c r="D225" s="67"/>
      <c r="E225" s="67"/>
      <c r="F225" s="67"/>
      <c r="G225" s="45"/>
      <c r="H225" s="70" t="str">
        <f>Elaborazione!$E$72</f>
        <v>S₂ indust.</v>
      </c>
      <c r="I225" s="77">
        <f>Elaborazione!$E$74</f>
        <v>21.54</v>
      </c>
      <c r="J225" s="70" t="str">
        <f>Elaborazione!$E$73</f>
        <v>mm²</v>
      </c>
      <c r="K225" s="67"/>
      <c r="L225" s="67"/>
      <c r="M225" s="67"/>
      <c r="N225" s="67"/>
      <c r="O225" s="67"/>
      <c r="P225" s="67"/>
      <c r="Q225" s="67"/>
      <c r="R225" s="67"/>
      <c r="S225" s="45"/>
      <c r="T225" s="45"/>
    </row>
    <row r="226" spans="1:20">
      <c r="A226" s="67" t="s">
        <v>411</v>
      </c>
      <c r="B226" s="67"/>
      <c r="C226" s="67"/>
      <c r="D226" s="67"/>
      <c r="E226" s="67"/>
      <c r="F226" s="67"/>
      <c r="G226" s="45"/>
      <c r="H226" s="70" t="str">
        <f>Elaborazione!$F$72</f>
        <v>Spessore</v>
      </c>
      <c r="I226" s="77">
        <f>Elaborazione!$F$74</f>
        <v>4</v>
      </c>
      <c r="J226" s="70" t="str">
        <f>Elaborazione!$F$73</f>
        <v>mm</v>
      </c>
      <c r="K226" s="67"/>
      <c r="L226" s="67"/>
      <c r="M226" s="67"/>
      <c r="N226" s="67"/>
      <c r="O226" s="67"/>
      <c r="P226" s="67"/>
      <c r="Q226" s="67"/>
      <c r="R226" s="67"/>
      <c r="S226" s="45"/>
      <c r="T226" s="45"/>
    </row>
    <row r="227" spans="1:20">
      <c r="A227" s="67" t="s">
        <v>412</v>
      </c>
      <c r="B227" s="67"/>
      <c r="C227" s="67"/>
      <c r="D227" s="67"/>
      <c r="E227" s="67"/>
      <c r="F227" s="67"/>
      <c r="G227" s="45"/>
      <c r="H227" s="70" t="str">
        <f>Elaborazione!$G$72</f>
        <v>Larghezza</v>
      </c>
      <c r="I227" s="70">
        <f>Elaborazione!$G$74</f>
        <v>5.6</v>
      </c>
      <c r="J227" s="70" t="str">
        <f>Elaborazione!$G$73</f>
        <v>mm</v>
      </c>
      <c r="K227" s="67"/>
      <c r="L227" s="67"/>
      <c r="M227" s="67"/>
      <c r="N227" s="67"/>
      <c r="O227" s="67"/>
      <c r="P227" s="67"/>
      <c r="Q227" s="67"/>
      <c r="R227" s="67"/>
      <c r="S227" s="45"/>
      <c r="T227" s="45"/>
    </row>
    <row r="228" spans="1:20">
      <c r="A228" s="67"/>
      <c r="B228" s="67"/>
      <c r="C228" s="67"/>
      <c r="D228" s="67"/>
      <c r="E228" s="67"/>
      <c r="F228" s="67"/>
      <c r="G228" s="45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45"/>
      <c r="T228" s="45"/>
    </row>
    <row r="229" spans="1:20">
      <c r="A229" s="67"/>
      <c r="B229" s="67"/>
      <c r="C229" s="67"/>
      <c r="D229" s="67"/>
      <c r="E229" s="67"/>
      <c r="F229" s="67"/>
      <c r="G229" s="45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45"/>
      <c r="T229" s="45"/>
    </row>
    <row r="230" spans="1:20">
      <c r="A230" s="67"/>
      <c r="B230" s="67"/>
      <c r="C230" s="67"/>
      <c r="D230" s="67"/>
      <c r="E230" s="67"/>
      <c r="F230" s="67"/>
      <c r="G230" s="45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45"/>
      <c r="T230" s="45"/>
    </row>
    <row r="231" spans="1:20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45"/>
      <c r="T231" s="45"/>
    </row>
    <row r="232" spans="1:20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45"/>
      <c r="T232" s="45"/>
    </row>
    <row r="233" spans="1:20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45"/>
      <c r="T233" s="45"/>
    </row>
    <row r="234" spans="1:20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45"/>
      <c r="T234" s="45"/>
    </row>
    <row r="235" spans="1:20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</row>
    <row r="236" spans="1:20">
      <c r="A236" s="65" t="s">
        <v>413</v>
      </c>
      <c r="B236" s="64"/>
      <c r="C236" s="64"/>
      <c r="D236" s="64"/>
      <c r="E236" s="64"/>
      <c r="F236" s="64"/>
      <c r="G236" s="64"/>
      <c r="H236" s="64"/>
      <c r="I236" s="64"/>
      <c r="J236" s="66" t="s">
        <v>414</v>
      </c>
      <c r="K236" s="65" t="s">
        <v>415</v>
      </c>
      <c r="L236" s="64"/>
      <c r="M236" s="64"/>
      <c r="N236" s="64"/>
      <c r="O236" s="64"/>
      <c r="P236" s="64"/>
      <c r="Q236" s="64"/>
      <c r="R236" s="64"/>
      <c r="S236" s="64"/>
      <c r="T236" s="66" t="s">
        <v>416</v>
      </c>
    </row>
    <row r="237" spans="1:20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45"/>
      <c r="T237" s="45"/>
    </row>
    <row r="238" spans="1:20">
      <c r="A238" s="69" t="s">
        <v>277</v>
      </c>
      <c r="B238" s="67"/>
      <c r="C238" s="67"/>
      <c r="D238" s="67"/>
      <c r="E238" s="67"/>
      <c r="F238" s="67"/>
      <c r="G238" s="45"/>
      <c r="H238" s="35" t="s">
        <v>278</v>
      </c>
      <c r="I238" s="35" t="s">
        <v>279</v>
      </c>
      <c r="J238" s="35" t="s">
        <v>280</v>
      </c>
      <c r="K238" s="67"/>
      <c r="L238" s="67"/>
      <c r="M238" s="67"/>
      <c r="N238" s="67"/>
      <c r="O238" s="67"/>
      <c r="P238" s="67"/>
      <c r="Q238" s="67"/>
      <c r="R238" s="67"/>
      <c r="S238" s="45"/>
      <c r="T238" s="45"/>
    </row>
    <row r="239" spans="1:20">
      <c r="A239" s="67" t="s">
        <v>417</v>
      </c>
      <c r="B239" s="67"/>
      <c r="C239" s="67"/>
      <c r="D239" s="67"/>
      <c r="E239" s="67"/>
      <c r="F239" s="67"/>
      <c r="G239" s="45"/>
      <c r="H239" s="70" t="str">
        <f>Elaborazione!$D$95</f>
        <v>a₁/spira</v>
      </c>
      <c r="I239" s="70">
        <f>Elaborazione!$D$97</f>
        <v>1.6080000000000001</v>
      </c>
      <c r="J239" s="70" t="str">
        <f>Elaborazione!$D$96</f>
        <v>mm</v>
      </c>
      <c r="K239" s="67"/>
      <c r="L239" s="67"/>
      <c r="M239" s="67"/>
      <c r="N239" s="67"/>
      <c r="O239" s="67"/>
      <c r="P239" s="67"/>
      <c r="Q239" s="67"/>
      <c r="R239" s="67"/>
      <c r="S239" s="45"/>
      <c r="T239" s="45"/>
    </row>
    <row r="240" spans="1:20">
      <c r="A240" s="67" t="s">
        <v>418</v>
      </c>
      <c r="B240" s="67"/>
      <c r="C240" s="67"/>
      <c r="D240" s="67"/>
      <c r="E240" s="67"/>
      <c r="F240" s="67"/>
      <c r="G240" s="45"/>
      <c r="H240" s="70" t="str">
        <f>Elaborazione!$E$95</f>
        <v>hmt</v>
      </c>
      <c r="I240" s="77">
        <f>Elaborazione!$E$97</f>
        <v>30.712800000000005</v>
      </c>
      <c r="J240" s="70" t="str">
        <f>Elaborazione!$E$96</f>
        <v>cm</v>
      </c>
      <c r="K240" s="67"/>
      <c r="L240" s="67"/>
      <c r="M240" s="67"/>
      <c r="N240" s="67"/>
      <c r="O240" s="67"/>
      <c r="P240" s="67"/>
      <c r="Q240" s="67"/>
      <c r="R240" s="67"/>
      <c r="S240" s="45"/>
      <c r="T240" s="45"/>
    </row>
    <row r="241" spans="1:20">
      <c r="A241" s="67" t="s">
        <v>419</v>
      </c>
      <c r="B241" s="67"/>
      <c r="C241" s="67"/>
      <c r="D241" s="67"/>
      <c r="E241" s="67"/>
      <c r="F241" s="67"/>
      <c r="G241" s="45"/>
      <c r="H241" s="70" t="str">
        <f>Elaborazione!$D$81</f>
        <v>a₁</v>
      </c>
      <c r="I241" s="77">
        <f>Elaborazione!$D$83</f>
        <v>12.944000000000001</v>
      </c>
      <c r="J241" s="70" t="str">
        <f>Elaborazione!$D$82</f>
        <v>mm</v>
      </c>
      <c r="K241" s="67"/>
      <c r="L241" s="67"/>
      <c r="M241" s="67"/>
      <c r="N241" s="67"/>
      <c r="O241" s="67"/>
      <c r="P241" s="67"/>
      <c r="Q241" s="67"/>
      <c r="R241" s="67"/>
      <c r="S241" s="45"/>
      <c r="T241" s="45"/>
    </row>
    <row r="242" spans="1:20">
      <c r="A242" s="67"/>
      <c r="B242" s="67"/>
      <c r="C242" s="67"/>
      <c r="D242" s="67"/>
      <c r="E242" s="67"/>
      <c r="F242" s="67"/>
      <c r="G242" s="45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45"/>
      <c r="T242" s="45"/>
    </row>
    <row r="243" spans="1:20">
      <c r="A243" s="67" t="s">
        <v>420</v>
      </c>
      <c r="B243" s="67"/>
      <c r="C243" s="67"/>
      <c r="D243" s="67"/>
      <c r="E243" s="67"/>
      <c r="F243" s="67"/>
      <c r="G243" s="45"/>
      <c r="H243" s="70" t="str">
        <f>Elaborazione!$H$95</f>
        <v>a₂/spira</v>
      </c>
      <c r="I243" s="77">
        <f>Elaborazione!$H$97</f>
        <v>5.8999999999999995</v>
      </c>
      <c r="J243" s="70" t="str">
        <f>Elaborazione!$H$96</f>
        <v>mm</v>
      </c>
      <c r="K243" s="67"/>
      <c r="L243" s="67"/>
      <c r="M243" s="67"/>
      <c r="N243" s="67"/>
      <c r="O243" s="67"/>
      <c r="P243" s="67"/>
      <c r="Q243" s="67"/>
      <c r="R243" s="67"/>
      <c r="S243" s="45"/>
      <c r="T243" s="45"/>
    </row>
    <row r="244" spans="1:20">
      <c r="A244" s="67" t="s">
        <v>421</v>
      </c>
      <c r="B244" s="67"/>
      <c r="C244" s="67"/>
      <c r="D244" s="67"/>
      <c r="E244" s="67"/>
      <c r="F244" s="67"/>
      <c r="G244" s="45"/>
      <c r="H244" s="70" t="str">
        <f>Elaborazione!$I$95</f>
        <v>hbt</v>
      </c>
      <c r="I244" s="77">
        <f>Elaborazione!$I$97</f>
        <v>46.019999999999996</v>
      </c>
      <c r="J244" s="70" t="str">
        <f>Elaborazione!$I$96</f>
        <v>cm</v>
      </c>
      <c r="K244" s="67"/>
      <c r="L244" s="67"/>
      <c r="M244" s="67"/>
      <c r="N244" s="67"/>
      <c r="O244" s="67"/>
      <c r="P244" s="67"/>
      <c r="Q244" s="67"/>
      <c r="R244" s="67"/>
      <c r="S244" s="45"/>
      <c r="T244" s="45"/>
    </row>
    <row r="245" spans="1:20">
      <c r="A245" s="67" t="s">
        <v>422</v>
      </c>
      <c r="B245" s="67"/>
      <c r="C245" s="67"/>
      <c r="D245" s="67"/>
      <c r="E245" s="67"/>
      <c r="F245" s="67"/>
      <c r="G245" s="45"/>
      <c r="H245" s="70" t="str">
        <f>Elaborazione!$F$81</f>
        <v>a₂</v>
      </c>
      <c r="I245" s="77">
        <f>Elaborazione!$F$83</f>
        <v>8.6</v>
      </c>
      <c r="J245" s="70" t="str">
        <f>Elaborazione!$F$82</f>
        <v>mm</v>
      </c>
      <c r="K245" s="67"/>
      <c r="L245" s="67"/>
      <c r="M245" s="67"/>
      <c r="N245" s="67"/>
      <c r="O245" s="67"/>
      <c r="P245" s="67"/>
      <c r="Q245" s="67"/>
      <c r="R245" s="67"/>
      <c r="S245" s="45"/>
      <c r="T245" s="45"/>
    </row>
    <row r="246" spans="1:20">
      <c r="A246" s="67"/>
      <c r="B246" s="67"/>
      <c r="C246" s="67"/>
      <c r="D246" s="67"/>
      <c r="E246" s="67"/>
      <c r="F246" s="67"/>
      <c r="G246" s="45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45"/>
      <c r="T246" s="45"/>
    </row>
    <row r="247" spans="1:20">
      <c r="A247" s="67" t="s">
        <v>423</v>
      </c>
      <c r="B247" s="67"/>
      <c r="C247" s="67"/>
      <c r="D247" s="67"/>
      <c r="E247" s="67"/>
      <c r="F247" s="67"/>
      <c r="G247" s="45"/>
      <c r="H247" s="70" t="str">
        <f>Elaborazione!$I$81</f>
        <v>D</v>
      </c>
      <c r="I247" s="70">
        <f>Elaborazione!$I$83</f>
        <v>146.142434140722</v>
      </c>
      <c r="J247" s="70" t="str">
        <f>Elaborazione!$I$82</f>
        <v>mm</v>
      </c>
      <c r="K247" s="67"/>
      <c r="L247" s="67"/>
      <c r="M247" s="67"/>
      <c r="N247" s="67"/>
      <c r="O247" s="67"/>
      <c r="P247" s="67"/>
      <c r="Q247" s="67"/>
      <c r="R247" s="67"/>
      <c r="S247" s="45"/>
      <c r="T247" s="45"/>
    </row>
    <row r="248" spans="1:20">
      <c r="A248" s="67"/>
      <c r="B248" s="67"/>
      <c r="C248" s="67"/>
      <c r="D248" s="67"/>
      <c r="E248" s="67"/>
      <c r="F248" s="67"/>
      <c r="G248" s="45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45"/>
      <c r="T248" s="45"/>
    </row>
    <row r="249" spans="1:20">
      <c r="A249" s="67" t="s">
        <v>424</v>
      </c>
      <c r="B249" s="67"/>
      <c r="C249" s="67"/>
      <c r="D249" s="67"/>
      <c r="E249" s="67"/>
      <c r="F249" s="67"/>
      <c r="G249" s="45"/>
      <c r="H249" s="70" t="str">
        <f>Elaborazione!$L$95</f>
        <v>h</v>
      </c>
      <c r="I249" s="77">
        <f>Elaborazione!$L$97</f>
        <v>488.19999999999993</v>
      </c>
      <c r="J249" s="70" t="str">
        <f>Elaborazione!$L$96</f>
        <v>mm</v>
      </c>
      <c r="K249" s="67"/>
      <c r="L249" s="67"/>
      <c r="M249" s="67"/>
      <c r="N249" s="67"/>
      <c r="O249" s="67"/>
      <c r="P249" s="67"/>
      <c r="Q249" s="67"/>
      <c r="R249" s="67"/>
      <c r="S249" s="45"/>
      <c r="T249" s="45"/>
    </row>
    <row r="250" spans="1:20">
      <c r="A250" s="67" t="s">
        <v>425</v>
      </c>
      <c r="B250" s="67"/>
      <c r="C250" s="67"/>
      <c r="D250" s="67"/>
      <c r="E250" s="67"/>
      <c r="F250" s="67"/>
      <c r="G250" s="45"/>
      <c r="H250" s="70" t="str">
        <f>Elaborazione!$C$26</f>
        <v>Sn</v>
      </c>
      <c r="I250" s="77">
        <f>Elaborazione!$C$28</f>
        <v>4.3243243243243244E-3</v>
      </c>
      <c r="J250" s="70" t="str">
        <f>Elaborazione!$C$27</f>
        <v>m²</v>
      </c>
      <c r="K250" s="67"/>
      <c r="L250" s="67"/>
      <c r="M250" s="67"/>
      <c r="N250" s="67"/>
      <c r="O250" s="67"/>
      <c r="P250" s="67"/>
      <c r="Q250" s="67"/>
      <c r="R250" s="67"/>
      <c r="S250" s="45"/>
      <c r="T250" s="45"/>
    </row>
    <row r="251" spans="1:20">
      <c r="A251" s="67" t="s">
        <v>426</v>
      </c>
      <c r="B251" s="67"/>
      <c r="C251" s="67"/>
      <c r="D251" s="67"/>
      <c r="E251" s="67"/>
      <c r="F251" s="67"/>
      <c r="G251" s="45"/>
      <c r="H251" s="70" t="str">
        <f>Elaborazione!$K$81</f>
        <v>b</v>
      </c>
      <c r="I251" s="77">
        <f>Elaborazione!$K$83</f>
        <v>166.142434140722</v>
      </c>
      <c r="J251" s="70" t="str">
        <f>Elaborazione!$K$82</f>
        <v>mm</v>
      </c>
      <c r="K251" s="67"/>
      <c r="L251" s="67"/>
      <c r="M251" s="67"/>
      <c r="N251" s="67"/>
      <c r="O251" s="67"/>
      <c r="P251" s="67"/>
      <c r="Q251" s="67"/>
      <c r="R251" s="67"/>
      <c r="S251" s="45"/>
      <c r="T251" s="45"/>
    </row>
    <row r="252" spans="1:20">
      <c r="A252" s="67" t="s">
        <v>427</v>
      </c>
      <c r="B252" s="67"/>
      <c r="C252" s="67"/>
      <c r="D252" s="67"/>
      <c r="E252" s="67"/>
      <c r="F252" s="67"/>
      <c r="G252" s="45"/>
      <c r="H252" s="70" t="str">
        <f>Elaborazione!$H$81</f>
        <v>δ</v>
      </c>
      <c r="I252" s="70">
        <f>Elaborazione!$H$83</f>
        <v>20</v>
      </c>
      <c r="J252" s="70" t="str">
        <f>Elaborazione!$H$82</f>
        <v>mm</v>
      </c>
      <c r="K252" s="67"/>
      <c r="L252" s="67"/>
      <c r="M252" s="67"/>
      <c r="N252" s="67"/>
      <c r="O252" s="67"/>
      <c r="P252" s="67"/>
      <c r="Q252" s="67"/>
      <c r="R252" s="67"/>
      <c r="S252" s="45"/>
      <c r="T252" s="45"/>
    </row>
    <row r="253" spans="1:20">
      <c r="A253" s="67"/>
      <c r="B253" s="67"/>
      <c r="C253" s="67"/>
      <c r="D253" s="67"/>
      <c r="E253" s="67"/>
      <c r="F253" s="67"/>
      <c r="G253" s="45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45"/>
      <c r="T253" s="45"/>
    </row>
    <row r="254" spans="1:20">
      <c r="A254" s="67" t="s">
        <v>428</v>
      </c>
      <c r="B254" s="67"/>
      <c r="C254" s="67"/>
      <c r="D254" s="67"/>
      <c r="E254" s="67"/>
      <c r="F254" s="67"/>
      <c r="G254" s="45"/>
      <c r="H254" s="70" t="str">
        <f>Elaborazione!$D$88</f>
        <v>hg</v>
      </c>
      <c r="I254" s="77">
        <f>Elaborazione!$D$90</f>
        <v>67.670835097762179</v>
      </c>
      <c r="J254" s="70" t="str">
        <f>Elaborazione!$D$89</f>
        <v>mm</v>
      </c>
      <c r="K254" s="67"/>
      <c r="L254" s="67"/>
      <c r="M254" s="67"/>
      <c r="N254" s="67"/>
      <c r="O254" s="67"/>
      <c r="P254" s="67"/>
      <c r="Q254" s="67"/>
      <c r="R254" s="67"/>
      <c r="S254" s="45"/>
      <c r="T254" s="45"/>
    </row>
    <row r="255" spans="1:20">
      <c r="A255" s="67" t="s">
        <v>429</v>
      </c>
      <c r="B255" s="67"/>
      <c r="C255" s="67"/>
      <c r="D255" s="67"/>
      <c r="E255" s="67"/>
      <c r="F255" s="67"/>
      <c r="G255" s="45"/>
      <c r="H255" s="70" t="str">
        <f>Elaborazione!$C$88</f>
        <v>Sg</v>
      </c>
      <c r="I255" s="77">
        <f>Elaborazione!$C$90</f>
        <v>5.1891891891891889E-3</v>
      </c>
      <c r="J255" s="70" t="str">
        <f>Elaborazione!$C$89</f>
        <v>m²</v>
      </c>
      <c r="K255" s="67"/>
      <c r="L255" s="67"/>
      <c r="M255" s="67"/>
      <c r="N255" s="67"/>
      <c r="O255" s="67"/>
      <c r="P255" s="67"/>
      <c r="Q255" s="67"/>
      <c r="R255" s="67"/>
      <c r="S255" s="45"/>
      <c r="T255" s="45"/>
    </row>
    <row r="256" spans="1:20">
      <c r="A256" s="67" t="s">
        <v>430</v>
      </c>
      <c r="B256" s="67"/>
      <c r="C256" s="67"/>
      <c r="D256" s="67"/>
      <c r="E256" s="67"/>
      <c r="F256" s="67"/>
      <c r="G256" s="45"/>
      <c r="H256" s="70" t="str">
        <f>Elaborazione!$E$88</f>
        <v>Lg</v>
      </c>
      <c r="I256" s="70">
        <f>Elaborazione!$E$90</f>
        <v>485.65047051444469</v>
      </c>
      <c r="J256" s="70" t="str">
        <f>Elaborazione!$E$89</f>
        <v>mm</v>
      </c>
      <c r="K256" s="67"/>
      <c r="L256" s="67"/>
      <c r="M256" s="67"/>
      <c r="N256" s="67"/>
      <c r="O256" s="67"/>
      <c r="P256" s="67"/>
      <c r="Q256" s="67"/>
      <c r="R256" s="67"/>
      <c r="S256" s="45"/>
      <c r="T256" s="45"/>
    </row>
    <row r="257" spans="1:20">
      <c r="A257" s="67"/>
      <c r="B257" s="67"/>
      <c r="C257" s="67"/>
      <c r="D257" s="67"/>
      <c r="E257" s="67"/>
      <c r="F257" s="67"/>
      <c r="G257" s="45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45"/>
      <c r="T257" s="45"/>
    </row>
    <row r="258" spans="1:20">
      <c r="A258" s="67" t="s">
        <v>431</v>
      </c>
      <c r="B258" s="67"/>
      <c r="C258" s="67"/>
      <c r="D258" s="67"/>
      <c r="E258" s="67"/>
      <c r="F258" s="67"/>
      <c r="G258" s="45"/>
      <c r="H258" s="70" t="str">
        <f>Elaborazione!$C$81</f>
        <v>δ₁</v>
      </c>
      <c r="I258" s="70">
        <f>Elaborazione!$C$83</f>
        <v>8</v>
      </c>
      <c r="J258" s="70" t="str">
        <f>Elaborazione!$C$82</f>
        <v>mm</v>
      </c>
      <c r="K258" s="67"/>
      <c r="L258" s="67"/>
      <c r="M258" s="67"/>
      <c r="N258" s="67"/>
      <c r="O258" s="67"/>
      <c r="P258" s="67"/>
      <c r="Q258" s="67"/>
      <c r="R258" s="67"/>
      <c r="S258" s="45"/>
      <c r="T258" s="45"/>
    </row>
    <row r="259" spans="1:20">
      <c r="A259" s="67" t="s">
        <v>432</v>
      </c>
      <c r="B259" s="67"/>
      <c r="C259" s="67"/>
      <c r="D259" s="67"/>
      <c r="E259" s="67"/>
      <c r="F259" s="67"/>
      <c r="G259" s="45"/>
      <c r="H259" s="70" t="str">
        <f>Elaborazione!$E$81</f>
        <v>δ₂</v>
      </c>
      <c r="I259" s="70">
        <f>Elaborazione!$E$83</f>
        <v>4</v>
      </c>
      <c r="J259" s="70" t="str">
        <f>Elaborazione!$E$82</f>
        <v>mm</v>
      </c>
      <c r="K259" s="67"/>
      <c r="L259" s="67"/>
      <c r="M259" s="67"/>
      <c r="N259" s="67"/>
      <c r="O259" s="67"/>
      <c r="P259" s="67"/>
      <c r="Q259" s="67"/>
      <c r="R259" s="67"/>
      <c r="S259" s="45"/>
      <c r="T259" s="45"/>
    </row>
    <row r="260" spans="1:20">
      <c r="A260" s="67"/>
      <c r="B260" s="67"/>
      <c r="C260" s="67"/>
      <c r="D260" s="67"/>
      <c r="E260" s="67"/>
      <c r="F260" s="67"/>
      <c r="G260" s="45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45"/>
      <c r="T260" s="45"/>
    </row>
    <row r="261" spans="1:20">
      <c r="A261" s="67" t="s">
        <v>433</v>
      </c>
      <c r="B261" s="67"/>
      <c r="C261" s="67"/>
      <c r="D261" s="67"/>
      <c r="E261" s="67"/>
      <c r="F261" s="67"/>
      <c r="G261" s="45"/>
      <c r="H261" s="70" t="str">
        <f>Elaborazione!$I$88</f>
        <v>Afec</v>
      </c>
      <c r="I261" s="77">
        <f>Elaborazione!$I$90</f>
        <v>4.4518967016195443</v>
      </c>
      <c r="J261" s="70" t="str">
        <f>Elaborazione!$I$89</f>
        <v>m²</v>
      </c>
      <c r="K261" s="67"/>
      <c r="L261" s="67"/>
      <c r="M261" s="67"/>
      <c r="N261" s="67"/>
      <c r="O261" s="67"/>
      <c r="P261" s="67"/>
      <c r="Q261" s="67"/>
      <c r="R261" s="67"/>
      <c r="S261" s="45"/>
      <c r="T261" s="45"/>
    </row>
    <row r="262" spans="1:20">
      <c r="A262" s="73" t="s">
        <v>434</v>
      </c>
      <c r="B262" s="67"/>
      <c r="C262" s="67"/>
      <c r="D262" s="67"/>
      <c r="E262" s="67"/>
      <c r="F262" s="67"/>
      <c r="G262" s="45"/>
      <c r="H262" s="70" t="str">
        <f>Elaborazione!$J$88</f>
        <v>Afeg</v>
      </c>
      <c r="I262" s="77">
        <f>Elaborazione!$J$90</f>
        <v>6.5779706879604105E-2</v>
      </c>
      <c r="J262" s="70" t="str">
        <f>Elaborazione!$J$89</f>
        <v>m²</v>
      </c>
      <c r="K262" s="67"/>
      <c r="L262" s="67"/>
      <c r="M262" s="67"/>
      <c r="N262" s="67"/>
      <c r="O262" s="67"/>
      <c r="P262" s="67"/>
      <c r="Q262" s="67"/>
      <c r="R262" s="67"/>
      <c r="S262" s="45"/>
      <c r="T262" s="45"/>
    </row>
    <row r="263" spans="1:20">
      <c r="A263" s="67"/>
      <c r="B263" s="67"/>
      <c r="C263" s="67"/>
      <c r="D263" s="67"/>
      <c r="E263" s="67"/>
      <c r="F263" s="67"/>
      <c r="G263" s="45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45"/>
      <c r="T263" s="45"/>
    </row>
    <row r="264" spans="1:20">
      <c r="A264" s="67" t="s">
        <v>435</v>
      </c>
      <c r="B264" s="67"/>
      <c r="C264" s="67"/>
      <c r="D264" s="67"/>
      <c r="E264" s="67"/>
      <c r="F264" s="67"/>
      <c r="G264" s="45"/>
      <c r="H264" s="70" t="str">
        <f>Elaborazione!$L$88</f>
        <v>Acu₂</v>
      </c>
      <c r="I264" s="77">
        <f>Elaborazione!$L$90</f>
        <v>0.27348957075890873</v>
      </c>
      <c r="J264" s="70" t="str">
        <f>Elaborazione!$L$89</f>
        <v>m²</v>
      </c>
      <c r="K264" s="67"/>
      <c r="L264" s="67"/>
      <c r="M264" s="67"/>
      <c r="N264" s="67"/>
      <c r="O264" s="67"/>
      <c r="P264" s="67"/>
      <c r="Q264" s="67"/>
      <c r="R264" s="67"/>
      <c r="S264" s="45"/>
      <c r="T264" s="45"/>
    </row>
    <row r="265" spans="1:20">
      <c r="A265" s="73" t="s">
        <v>436</v>
      </c>
      <c r="B265" s="67"/>
      <c r="C265" s="67"/>
      <c r="D265" s="67"/>
      <c r="E265" s="67"/>
      <c r="F265" s="67"/>
      <c r="G265" s="45"/>
      <c r="H265" s="70" t="str">
        <f>Elaborazione!$M$88</f>
        <v>Acu₁</v>
      </c>
      <c r="I265" s="77">
        <f>Elaborazione!$M$90</f>
        <v>0.114142434140722</v>
      </c>
      <c r="J265" s="70" t="str">
        <f>Elaborazione!$M$89</f>
        <v>m²</v>
      </c>
      <c r="K265" s="67"/>
      <c r="L265" s="67"/>
      <c r="M265" s="67"/>
      <c r="N265" s="67"/>
      <c r="O265" s="67"/>
      <c r="P265" s="67"/>
      <c r="Q265" s="67"/>
      <c r="R265" s="67"/>
      <c r="S265" s="45"/>
      <c r="T265" s="45"/>
    </row>
    <row r="266" spans="1:20">
      <c r="A266" s="67"/>
      <c r="B266" s="67"/>
      <c r="C266" s="67"/>
      <c r="D266" s="67"/>
      <c r="E266" s="67"/>
      <c r="F266" s="67"/>
      <c r="G266" s="45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45"/>
      <c r="T266" s="45"/>
    </row>
    <row r="267" spans="1:20">
      <c r="A267" s="67" t="s">
        <v>437</v>
      </c>
      <c r="B267" s="67"/>
      <c r="C267" s="67"/>
      <c r="D267" s="67"/>
      <c r="E267" s="67"/>
      <c r="F267" s="67"/>
      <c r="G267" s="45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45"/>
      <c r="T267" s="45"/>
    </row>
    <row r="268" spans="1:20">
      <c r="A268" s="67"/>
      <c r="B268" s="75" t="s">
        <v>438</v>
      </c>
      <c r="C268" s="67"/>
      <c r="D268" s="67"/>
      <c r="E268" s="67"/>
      <c r="F268" s="67"/>
      <c r="G268" s="45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45"/>
      <c r="T268" s="45"/>
    </row>
    <row r="269" spans="1:20">
      <c r="A269" s="67"/>
      <c r="B269" s="67"/>
      <c r="C269" s="67"/>
      <c r="D269" s="67"/>
      <c r="E269" s="67"/>
      <c r="F269" s="67"/>
      <c r="G269" s="45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45"/>
      <c r="T269" s="45"/>
    </row>
    <row r="270" spans="1:20">
      <c r="A270" s="67"/>
      <c r="B270" s="75" t="s">
        <v>439</v>
      </c>
      <c r="C270" s="67"/>
      <c r="D270" s="67"/>
      <c r="E270" s="67"/>
      <c r="F270" s="67"/>
      <c r="G270" s="45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45"/>
      <c r="T270" s="45"/>
    </row>
    <row r="271" spans="1:20">
      <c r="A271" s="67"/>
      <c r="B271" s="75" t="s">
        <v>440</v>
      </c>
      <c r="C271" s="67"/>
      <c r="D271" s="67"/>
      <c r="E271" s="67"/>
      <c r="F271" s="67"/>
      <c r="G271" s="45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45"/>
      <c r="T271" s="45"/>
    </row>
    <row r="272" spans="1:20">
      <c r="A272" s="67"/>
      <c r="B272" s="75" t="s">
        <v>441</v>
      </c>
      <c r="C272" s="67"/>
      <c r="D272" s="67"/>
      <c r="E272" s="67"/>
      <c r="F272" s="67"/>
      <c r="G272" s="45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45"/>
      <c r="T272" s="45"/>
    </row>
    <row r="273" spans="1:20">
      <c r="A273" s="67"/>
      <c r="B273" s="67"/>
      <c r="C273" s="67"/>
      <c r="D273" s="67"/>
      <c r="E273" s="67"/>
      <c r="F273" s="67"/>
      <c r="G273" s="45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45"/>
      <c r="T273" s="45"/>
    </row>
    <row r="274" spans="1:20">
      <c r="A274" s="67"/>
      <c r="B274" s="75" t="s">
        <v>442</v>
      </c>
      <c r="C274" s="67"/>
      <c r="D274" s="67"/>
      <c r="E274" s="67"/>
      <c r="F274" s="67"/>
      <c r="G274" s="45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45"/>
      <c r="T274" s="45"/>
    </row>
    <row r="275" spans="1:20">
      <c r="A275" s="67"/>
      <c r="B275" s="75" t="s">
        <v>443</v>
      </c>
      <c r="C275" s="67"/>
      <c r="D275" s="67"/>
      <c r="E275" s="67"/>
      <c r="F275" s="67"/>
      <c r="G275" s="45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45"/>
      <c r="T275" s="45"/>
    </row>
    <row r="276" spans="1:20">
      <c r="A276" s="67"/>
      <c r="B276" s="67"/>
      <c r="C276" s="67"/>
      <c r="D276" s="67"/>
      <c r="E276" s="67"/>
      <c r="F276" s="67"/>
      <c r="G276" s="45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45"/>
      <c r="T276" s="45"/>
    </row>
    <row r="277" spans="1:20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45"/>
      <c r="T277" s="45"/>
    </row>
    <row r="278" spans="1:20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45"/>
      <c r="T278" s="45"/>
    </row>
    <row r="279" spans="1:20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45"/>
      <c r="T279" s="45"/>
    </row>
    <row r="280" spans="1:20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45"/>
      <c r="T280" s="45"/>
    </row>
    <row r="281" spans="1:20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45"/>
      <c r="T281" s="45"/>
    </row>
    <row r="282" spans="1:20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204" t="s">
        <v>444</v>
      </c>
      <c r="P282" s="204"/>
      <c r="Q282" s="64"/>
      <c r="R282" s="64"/>
      <c r="S282" s="64"/>
      <c r="T282" s="64"/>
    </row>
    <row r="283" spans="1:20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45"/>
      <c r="T283" s="45"/>
    </row>
    <row r="295" spans="1:18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</row>
    <row r="296" spans="1:18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</row>
    <row r="297" spans="1:18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</row>
    <row r="298" spans="1:18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</row>
    <row r="299" spans="1:18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</row>
    <row r="300" spans="1:18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</row>
  </sheetData>
  <mergeCells count="36">
    <mergeCell ref="B4:I12"/>
    <mergeCell ref="N135:O135"/>
    <mergeCell ref="M130:M134"/>
    <mergeCell ref="M135:M136"/>
    <mergeCell ref="O282:P282"/>
    <mergeCell ref="N136:O136"/>
    <mergeCell ref="N130:O130"/>
    <mergeCell ref="N131:O131"/>
    <mergeCell ref="N132:O132"/>
    <mergeCell ref="N133:O133"/>
    <mergeCell ref="N134:O134"/>
    <mergeCell ref="B31:I31"/>
    <mergeCell ref="B32:I32"/>
    <mergeCell ref="N126:O126"/>
    <mergeCell ref="M118:O118"/>
    <mergeCell ref="M119:O119"/>
    <mergeCell ref="M120:M121"/>
    <mergeCell ref="M122:O122"/>
    <mergeCell ref="M123:O123"/>
    <mergeCell ref="N120:O120"/>
    <mergeCell ref="N121:O121"/>
    <mergeCell ref="N124:O124"/>
    <mergeCell ref="N125:O125"/>
    <mergeCell ref="N128:O128"/>
    <mergeCell ref="N129:O129"/>
    <mergeCell ref="M124:M129"/>
    <mergeCell ref="N127:O127"/>
    <mergeCell ref="B23:I23"/>
    <mergeCell ref="B24:I24"/>
    <mergeCell ref="B26:I26"/>
    <mergeCell ref="B27:I27"/>
    <mergeCell ref="B17:I17"/>
    <mergeCell ref="B18:I18"/>
    <mergeCell ref="B19:I19"/>
    <mergeCell ref="B20:I20"/>
    <mergeCell ref="B22:I22"/>
  </mergeCells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27"/>
  <sheetViews>
    <sheetView showGridLines="0" workbookViewId="0"/>
  </sheetViews>
  <sheetFormatPr defaultRowHeight="15"/>
  <cols>
    <col min="1" max="9" width="8.7109375" customWidth="1"/>
    <col min="10" max="10" width="9.7109375" customWidth="1"/>
    <col min="11" max="1025" width="8.7109375" customWidth="1"/>
  </cols>
  <sheetData>
    <row r="1" spans="1:7">
      <c r="A1" s="8" t="s">
        <v>445</v>
      </c>
    </row>
    <row r="2" spans="1:7">
      <c r="A2" s="78"/>
      <c r="B2" s="78"/>
      <c r="C2" s="78"/>
      <c r="D2" s="78"/>
      <c r="E2" s="78"/>
      <c r="F2" s="78"/>
      <c r="G2" s="78"/>
    </row>
    <row r="3" spans="1:7">
      <c r="A3" s="8"/>
      <c r="B3" s="8" t="s">
        <v>446</v>
      </c>
    </row>
    <row r="4" spans="1:7">
      <c r="A4" s="8"/>
      <c r="B4" t="s">
        <v>447</v>
      </c>
      <c r="C4" t="s">
        <v>448</v>
      </c>
      <c r="D4" t="s">
        <v>448</v>
      </c>
      <c r="E4" t="s">
        <v>449</v>
      </c>
    </row>
    <row r="5" spans="1:7">
      <c r="A5" s="8"/>
      <c r="B5" t="s">
        <v>450</v>
      </c>
      <c r="C5" t="s">
        <v>451</v>
      </c>
      <c r="D5" t="s">
        <v>452</v>
      </c>
      <c r="E5" t="s">
        <v>453</v>
      </c>
    </row>
    <row r="6" spans="1:7">
      <c r="A6" s="8"/>
      <c r="B6" t="s">
        <v>93</v>
      </c>
      <c r="C6" t="s">
        <v>93</v>
      </c>
      <c r="D6" t="s">
        <v>93</v>
      </c>
      <c r="E6" t="s">
        <v>93</v>
      </c>
    </row>
    <row r="7" spans="1:7">
      <c r="A7" s="8"/>
      <c r="B7">
        <v>3</v>
      </c>
      <c r="C7">
        <v>3.6</v>
      </c>
      <c r="D7">
        <v>16</v>
      </c>
      <c r="E7">
        <v>45</v>
      </c>
    </row>
    <row r="8" spans="1:7">
      <c r="A8" s="8"/>
      <c r="B8">
        <v>6</v>
      </c>
      <c r="C8">
        <v>7.2</v>
      </c>
      <c r="D8">
        <v>22</v>
      </c>
      <c r="E8">
        <v>60</v>
      </c>
    </row>
    <row r="9" spans="1:7">
      <c r="A9" s="8"/>
      <c r="B9">
        <v>10</v>
      </c>
      <c r="C9">
        <v>12</v>
      </c>
      <c r="D9">
        <v>28</v>
      </c>
      <c r="E9">
        <v>75</v>
      </c>
    </row>
    <row r="10" spans="1:7">
      <c r="A10" s="8"/>
      <c r="B10">
        <v>15</v>
      </c>
      <c r="C10">
        <v>17.5</v>
      </c>
      <c r="D10">
        <v>38</v>
      </c>
      <c r="E10">
        <v>95</v>
      </c>
    </row>
    <row r="11" spans="1:7">
      <c r="A11" s="8"/>
      <c r="B11">
        <v>20</v>
      </c>
      <c r="C11">
        <v>24</v>
      </c>
      <c r="D11">
        <v>50</v>
      </c>
      <c r="E11">
        <v>125</v>
      </c>
    </row>
    <row r="12" spans="1:7">
      <c r="A12" s="8"/>
      <c r="B12">
        <v>30</v>
      </c>
      <c r="C12">
        <v>36</v>
      </c>
      <c r="D12">
        <v>70</v>
      </c>
      <c r="E12">
        <v>170</v>
      </c>
    </row>
    <row r="13" spans="1:7">
      <c r="A13" s="8"/>
    </row>
    <row r="14" spans="1:7">
      <c r="A14" s="8"/>
    </row>
    <row r="15" spans="1:7">
      <c r="A15" s="8"/>
    </row>
    <row r="16" spans="1:7">
      <c r="A16" s="78"/>
      <c r="B16" s="78"/>
      <c r="C16" s="78"/>
      <c r="D16" s="78"/>
      <c r="E16" s="78"/>
      <c r="F16" s="78"/>
      <c r="G16" s="78"/>
    </row>
    <row r="17" spans="1:29">
      <c r="A17" s="8"/>
      <c r="B17" s="7" t="s">
        <v>454</v>
      </c>
    </row>
    <row r="18" spans="1:29">
      <c r="A18" s="8"/>
      <c r="B18" s="45" t="s">
        <v>601</v>
      </c>
      <c r="L18" s="45"/>
    </row>
    <row r="19" spans="1:29">
      <c r="A19" s="8"/>
      <c r="B19" s="5"/>
    </row>
    <row r="20" spans="1:29">
      <c r="A20" t="s">
        <v>455</v>
      </c>
      <c r="B20">
        <v>2.2999999999999998</v>
      </c>
      <c r="C20">
        <v>2.31</v>
      </c>
      <c r="D20">
        <v>2.3199999999999998</v>
      </c>
      <c r="E20">
        <v>2.33</v>
      </c>
      <c r="F20">
        <v>2.34</v>
      </c>
      <c r="G20">
        <v>2.35</v>
      </c>
      <c r="H20">
        <v>2.36</v>
      </c>
      <c r="I20">
        <v>2.36</v>
      </c>
      <c r="J20">
        <v>2.38</v>
      </c>
      <c r="K20">
        <v>2.39</v>
      </c>
      <c r="L20">
        <v>2.4</v>
      </c>
      <c r="M20">
        <v>2.41</v>
      </c>
      <c r="N20">
        <v>2.42</v>
      </c>
      <c r="O20">
        <v>2.4300000000000002</v>
      </c>
      <c r="P20">
        <v>2.44</v>
      </c>
      <c r="Q20">
        <v>2.4500000000000002</v>
      </c>
      <c r="R20">
        <v>2.46</v>
      </c>
      <c r="S20">
        <v>2.4700000000000002</v>
      </c>
      <c r="T20">
        <v>2.48</v>
      </c>
      <c r="U20">
        <v>2.4900000000000002</v>
      </c>
      <c r="V20">
        <v>2.5</v>
      </c>
      <c r="W20">
        <v>2.5099999999999998</v>
      </c>
      <c r="X20">
        <v>2.52</v>
      </c>
      <c r="Y20">
        <v>2.5299999999999998</v>
      </c>
      <c r="Z20">
        <v>2.54</v>
      </c>
      <c r="AA20">
        <v>2.5499999999999998</v>
      </c>
    </row>
    <row r="21" spans="1:29">
      <c r="A21" s="5" t="s">
        <v>456</v>
      </c>
      <c r="B21" s="6">
        <v>0</v>
      </c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P21" s="6">
        <v>14</v>
      </c>
      <c r="Q21" s="6">
        <v>15</v>
      </c>
      <c r="R21" s="6">
        <v>16</v>
      </c>
      <c r="S21" s="6">
        <v>17</v>
      </c>
      <c r="T21" s="6">
        <v>18</v>
      </c>
      <c r="U21" s="6">
        <v>19</v>
      </c>
      <c r="V21" s="6">
        <v>20</v>
      </c>
      <c r="W21" s="6">
        <v>21</v>
      </c>
      <c r="X21" s="6">
        <v>22</v>
      </c>
      <c r="Y21" s="6">
        <v>23</v>
      </c>
      <c r="Z21" s="6">
        <v>24</v>
      </c>
      <c r="AA21" s="6">
        <v>25</v>
      </c>
      <c r="AB21" s="6"/>
      <c r="AC21" s="6"/>
    </row>
    <row r="22" spans="1:29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9">
      <c r="A23" s="6"/>
      <c r="B23" s="6"/>
    </row>
    <row r="24" spans="1:29">
      <c r="A24" s="78"/>
      <c r="B24" s="78"/>
      <c r="C24" s="78"/>
      <c r="D24" s="78"/>
      <c r="E24" s="78"/>
      <c r="F24" s="78"/>
      <c r="G24" s="78"/>
    </row>
    <row r="25" spans="1:29">
      <c r="B25" s="8" t="s">
        <v>457</v>
      </c>
      <c r="D25" t="s">
        <v>458</v>
      </c>
    </row>
    <row r="27" spans="1:29">
      <c r="B27" t="s">
        <v>459</v>
      </c>
      <c r="C27" t="s">
        <v>158</v>
      </c>
      <c r="D27" t="s">
        <v>460</v>
      </c>
      <c r="E27" t="s">
        <v>461</v>
      </c>
      <c r="F27" t="s">
        <v>462</v>
      </c>
    </row>
    <row r="28" spans="1:29">
      <c r="D28" t="s">
        <v>463</v>
      </c>
      <c r="E28" t="s">
        <v>464</v>
      </c>
      <c r="F28" t="s">
        <v>159</v>
      </c>
      <c r="G28" t="s">
        <v>160</v>
      </c>
      <c r="H28" t="s">
        <v>161</v>
      </c>
      <c r="J28" s="6"/>
    </row>
    <row r="29" spans="1:29">
      <c r="B29" t="s">
        <v>143</v>
      </c>
      <c r="C29" t="s">
        <v>46</v>
      </c>
      <c r="D29" s="6" t="s">
        <v>465</v>
      </c>
      <c r="E29" s="6" t="s">
        <v>466</v>
      </c>
      <c r="F29" s="6" t="s">
        <v>46</v>
      </c>
      <c r="G29" s="6" t="s">
        <v>46</v>
      </c>
      <c r="H29" s="6" t="s">
        <v>46</v>
      </c>
    </row>
    <row r="30" spans="1:29">
      <c r="B30">
        <v>3.1399999999999999E-4</v>
      </c>
      <c r="C30">
        <v>0.02</v>
      </c>
      <c r="D30">
        <v>54.91</v>
      </c>
      <c r="E30">
        <v>2.7899999999999999E-3</v>
      </c>
      <c r="F30">
        <v>2.5000000000000001E-2</v>
      </c>
      <c r="G30">
        <v>0</v>
      </c>
      <c r="H30">
        <v>0</v>
      </c>
    </row>
    <row r="31" spans="1:29">
      <c r="B31">
        <v>4.8999999999999998E-4</v>
      </c>
      <c r="C31">
        <v>2.5000000000000001E-2</v>
      </c>
      <c r="D31">
        <v>35.119999999999997</v>
      </c>
      <c r="E31">
        <v>3.46E-3</v>
      </c>
      <c r="F31">
        <v>3.1E-2</v>
      </c>
      <c r="G31">
        <v>0</v>
      </c>
      <c r="H31">
        <v>0</v>
      </c>
    </row>
    <row r="32" spans="1:29">
      <c r="B32">
        <v>8.0400000000000003E-4</v>
      </c>
      <c r="C32">
        <v>3.2000000000000001E-2</v>
      </c>
      <c r="D32">
        <v>21.44</v>
      </c>
      <c r="E32">
        <v>7.1000000000000004E-3</v>
      </c>
      <c r="F32">
        <v>0.04</v>
      </c>
      <c r="G32">
        <v>0</v>
      </c>
      <c r="H32">
        <v>0</v>
      </c>
    </row>
    <row r="33" spans="2:8">
      <c r="B33">
        <v>1.256E-3</v>
      </c>
      <c r="C33">
        <v>0.04</v>
      </c>
      <c r="D33">
        <v>13.78</v>
      </c>
      <c r="E33">
        <v>1.1169999999999999E-2</v>
      </c>
      <c r="F33">
        <v>0.05</v>
      </c>
      <c r="G33">
        <v>0</v>
      </c>
      <c r="H33">
        <v>0</v>
      </c>
    </row>
    <row r="34" spans="2:8">
      <c r="B34">
        <v>1.9629999999999999E-3</v>
      </c>
      <c r="C34">
        <v>0.05</v>
      </c>
      <c r="D34">
        <v>8.7799999999999994</v>
      </c>
      <c r="E34">
        <v>1.745E-2</v>
      </c>
      <c r="F34">
        <v>6.2E-2</v>
      </c>
      <c r="G34">
        <v>0</v>
      </c>
      <c r="H34">
        <v>0</v>
      </c>
    </row>
    <row r="35" spans="2:8">
      <c r="B35">
        <v>3.1099999999999999E-3</v>
      </c>
      <c r="C35">
        <v>6.3E-2</v>
      </c>
      <c r="D35">
        <v>5.5309999999999997</v>
      </c>
      <c r="E35">
        <v>2.7699999999999999E-2</v>
      </c>
      <c r="F35">
        <v>7.8E-2</v>
      </c>
      <c r="G35">
        <v>8.5000000000000006E-2</v>
      </c>
      <c r="H35">
        <v>0</v>
      </c>
    </row>
    <row r="36" spans="2:8">
      <c r="B36">
        <v>3.9500000000000004E-3</v>
      </c>
      <c r="C36">
        <v>7.0999999999999994E-2</v>
      </c>
      <c r="D36">
        <v>4.3550000000000004</v>
      </c>
      <c r="E36">
        <v>3.5200000000000002E-2</v>
      </c>
      <c r="F36">
        <v>8.7999999999999995E-2</v>
      </c>
      <c r="G36">
        <v>9.5000000000000001E-2</v>
      </c>
      <c r="H36">
        <v>0</v>
      </c>
    </row>
    <row r="37" spans="2:8">
      <c r="B37">
        <v>5.0200000000000002E-3</v>
      </c>
      <c r="C37">
        <v>0.08</v>
      </c>
      <c r="D37">
        <v>3.43</v>
      </c>
      <c r="E37">
        <v>4.4699999999999997E-2</v>
      </c>
      <c r="F37">
        <v>9.8000000000000004E-2</v>
      </c>
      <c r="G37">
        <v>0.105</v>
      </c>
      <c r="H37">
        <v>0.11600000000000001</v>
      </c>
    </row>
    <row r="38" spans="2:8">
      <c r="B38">
        <v>5.6600000000000001E-3</v>
      </c>
      <c r="C38">
        <v>0.09</v>
      </c>
      <c r="D38">
        <v>2.71</v>
      </c>
      <c r="E38">
        <v>5.6599999999999998E-2</v>
      </c>
      <c r="F38">
        <v>0.11</v>
      </c>
      <c r="G38">
        <v>0.11700000000000001</v>
      </c>
      <c r="H38">
        <v>0.128</v>
      </c>
    </row>
    <row r="39" spans="2:8">
      <c r="B39">
        <v>7.8499999999999993E-3</v>
      </c>
      <c r="C39">
        <v>0.1</v>
      </c>
      <c r="D39">
        <v>2.1949999999999998</v>
      </c>
      <c r="E39">
        <v>6.9800000000000001E-2</v>
      </c>
      <c r="F39">
        <v>0.121</v>
      </c>
      <c r="G39">
        <v>0.129</v>
      </c>
      <c r="H39">
        <v>0.14099999999999999</v>
      </c>
    </row>
    <row r="40" spans="2:8">
      <c r="B40">
        <v>9.8399999999999998E-3</v>
      </c>
      <c r="C40">
        <v>0.112</v>
      </c>
      <c r="D40">
        <v>1.75</v>
      </c>
      <c r="E40">
        <v>8.7599999999999997E-2</v>
      </c>
      <c r="F40">
        <v>0.13400000000000001</v>
      </c>
      <c r="G40">
        <v>0.14299999999999999</v>
      </c>
      <c r="H40">
        <v>0.155</v>
      </c>
    </row>
    <row r="41" spans="2:8">
      <c r="B41">
        <v>1.1299999999999999E-2</v>
      </c>
      <c r="C41">
        <v>0.12</v>
      </c>
      <c r="D41">
        <v>1.524</v>
      </c>
      <c r="E41">
        <v>0.10050000000000001</v>
      </c>
      <c r="F41">
        <v>0.14399999999999999</v>
      </c>
      <c r="G41">
        <v>0</v>
      </c>
      <c r="H41">
        <v>0</v>
      </c>
    </row>
    <row r="42" spans="2:8">
      <c r="B42">
        <v>1.226E-2</v>
      </c>
      <c r="C42">
        <v>0.125</v>
      </c>
      <c r="D42">
        <v>1.405</v>
      </c>
      <c r="E42">
        <v>0.109</v>
      </c>
      <c r="F42">
        <v>0.14899999999999999</v>
      </c>
      <c r="G42">
        <v>0.159</v>
      </c>
      <c r="H42">
        <v>0.17100000000000001</v>
      </c>
    </row>
    <row r="43" spans="2:8">
      <c r="B43">
        <v>1.3259999999999999E-2</v>
      </c>
      <c r="C43">
        <v>0.13</v>
      </c>
      <c r="D43">
        <v>1.2989999999999999</v>
      </c>
      <c r="E43">
        <v>0.11799999999999999</v>
      </c>
      <c r="F43">
        <v>0.155</v>
      </c>
      <c r="G43">
        <v>0</v>
      </c>
      <c r="H43">
        <v>0</v>
      </c>
    </row>
    <row r="44" spans="2:8">
      <c r="B44">
        <v>1.538E-2</v>
      </c>
      <c r="C44">
        <v>0.14000000000000001</v>
      </c>
      <c r="D44">
        <v>1.1200000000000001</v>
      </c>
      <c r="E44">
        <v>0.1368</v>
      </c>
      <c r="F44">
        <v>0.16600000000000001</v>
      </c>
      <c r="G44">
        <v>0.17599999999999999</v>
      </c>
      <c r="H44">
        <v>0.189</v>
      </c>
    </row>
    <row r="45" spans="2:8">
      <c r="B45">
        <v>1.7659999999999999E-2</v>
      </c>
      <c r="C45">
        <v>0.15</v>
      </c>
      <c r="D45">
        <v>0.97560000000000002</v>
      </c>
      <c r="E45">
        <v>0.15709999999999999</v>
      </c>
      <c r="F45">
        <v>0.17699999999999999</v>
      </c>
      <c r="G45">
        <v>0</v>
      </c>
      <c r="H45">
        <v>0</v>
      </c>
    </row>
    <row r="46" spans="2:8">
      <c r="B46">
        <v>2.009E-2</v>
      </c>
      <c r="C46">
        <v>0.16</v>
      </c>
      <c r="D46">
        <v>0.85750000000000004</v>
      </c>
      <c r="E46">
        <v>0.17879999999999999</v>
      </c>
      <c r="F46">
        <v>0.187</v>
      </c>
      <c r="G46">
        <v>0.19900000000000001</v>
      </c>
      <c r="H46">
        <v>0.21299999999999999</v>
      </c>
    </row>
    <row r="47" spans="2:8">
      <c r="B47">
        <v>2.5430000000000001E-2</v>
      </c>
      <c r="C47">
        <v>0.18</v>
      </c>
      <c r="D47">
        <v>0.67749999999999999</v>
      </c>
      <c r="E47">
        <v>0.22620000000000001</v>
      </c>
      <c r="F47">
        <v>0.20899999999999999</v>
      </c>
      <c r="G47">
        <v>0.222</v>
      </c>
      <c r="H47">
        <v>0.23699999999999999</v>
      </c>
    </row>
    <row r="48" spans="2:8">
      <c r="B48">
        <v>3.1399999999999997E-2</v>
      </c>
      <c r="C48">
        <v>0.2</v>
      </c>
      <c r="D48">
        <v>0.54879999999999995</v>
      </c>
      <c r="E48">
        <v>0.27929999999999999</v>
      </c>
      <c r="F48">
        <v>0.23</v>
      </c>
      <c r="G48">
        <v>0.245</v>
      </c>
      <c r="H48">
        <v>0.26100000000000001</v>
      </c>
    </row>
    <row r="49" spans="2:8">
      <c r="B49">
        <v>3.9379999999999998E-2</v>
      </c>
      <c r="C49">
        <v>0.224</v>
      </c>
      <c r="D49">
        <v>0.4375</v>
      </c>
      <c r="E49">
        <v>0.35010000000000002</v>
      </c>
      <c r="F49">
        <v>0.25600000000000001</v>
      </c>
      <c r="G49">
        <v>0.27200000000000002</v>
      </c>
      <c r="H49">
        <v>0.28999999999999998</v>
      </c>
    </row>
    <row r="50" spans="2:8">
      <c r="B50">
        <v>4.521E-2</v>
      </c>
      <c r="C50">
        <v>0.24</v>
      </c>
      <c r="D50">
        <v>0.38109999999999999</v>
      </c>
      <c r="E50">
        <v>0.4022</v>
      </c>
      <c r="F50">
        <v>0.27300000000000002</v>
      </c>
      <c r="G50">
        <v>0</v>
      </c>
      <c r="H50">
        <v>0</v>
      </c>
    </row>
    <row r="51" spans="2:8">
      <c r="B51">
        <v>4.9059999999999999E-2</v>
      </c>
      <c r="C51">
        <v>0.25</v>
      </c>
      <c r="D51">
        <v>0.35120000000000001</v>
      </c>
      <c r="E51">
        <v>0.43640000000000001</v>
      </c>
      <c r="F51">
        <v>0.28399999999999997</v>
      </c>
      <c r="G51">
        <v>0.30099999999999999</v>
      </c>
      <c r="H51">
        <v>0.32</v>
      </c>
    </row>
    <row r="52" spans="2:8">
      <c r="B52">
        <v>5.3060000000000003E-2</v>
      </c>
      <c r="C52">
        <v>0.26</v>
      </c>
      <c r="D52">
        <v>0.32469999999999999</v>
      </c>
      <c r="E52">
        <v>0.47199999999999998</v>
      </c>
      <c r="F52">
        <v>0.29399999999999998</v>
      </c>
      <c r="G52">
        <v>0</v>
      </c>
      <c r="H52">
        <v>0</v>
      </c>
    </row>
    <row r="53" spans="2:8">
      <c r="B53">
        <v>6.1539999999999997E-2</v>
      </c>
      <c r="C53">
        <v>0.28000000000000003</v>
      </c>
      <c r="D53">
        <v>0.28000000000000003</v>
      </c>
      <c r="E53">
        <v>0.5474</v>
      </c>
      <c r="F53">
        <v>0.315</v>
      </c>
      <c r="G53">
        <v>0.33400000000000002</v>
      </c>
      <c r="H53">
        <v>0.35299999999999998</v>
      </c>
    </row>
    <row r="54" spans="2:8">
      <c r="B54">
        <v>7.0650000000000004E-2</v>
      </c>
      <c r="C54">
        <v>0.3</v>
      </c>
      <c r="D54">
        <v>0.24390000000000001</v>
      </c>
      <c r="E54">
        <v>0.62839999999999996</v>
      </c>
      <c r="F54">
        <v>0.33600000000000002</v>
      </c>
      <c r="G54">
        <v>0.35499999999999998</v>
      </c>
      <c r="H54">
        <v>0</v>
      </c>
    </row>
    <row r="55" spans="2:8">
      <c r="B55">
        <v>7.7890000000000001E-2</v>
      </c>
      <c r="C55">
        <v>0.315</v>
      </c>
      <c r="D55">
        <v>0.22120000000000001</v>
      </c>
      <c r="E55">
        <v>0.69379999999999997</v>
      </c>
      <c r="F55">
        <v>0.35199999999999998</v>
      </c>
      <c r="G55">
        <v>0.371</v>
      </c>
      <c r="H55">
        <v>0.38100000000000001</v>
      </c>
    </row>
    <row r="56" spans="2:8">
      <c r="B56">
        <v>9.8930000000000004E-2</v>
      </c>
      <c r="C56">
        <v>0.35499999999999998</v>
      </c>
      <c r="D56">
        <v>0.17419999999999999</v>
      </c>
      <c r="E56">
        <v>0.88</v>
      </c>
      <c r="F56">
        <v>0.39500000000000002</v>
      </c>
      <c r="G56">
        <v>0.41399999999999998</v>
      </c>
      <c r="H56">
        <v>0.435</v>
      </c>
    </row>
    <row r="57" spans="2:8">
      <c r="B57">
        <v>0.11335000000000001</v>
      </c>
      <c r="C57">
        <v>0.38</v>
      </c>
      <c r="D57">
        <v>0.152</v>
      </c>
      <c r="E57">
        <v>1.008</v>
      </c>
      <c r="F57">
        <v>0.42099999999999999</v>
      </c>
      <c r="G57">
        <v>0.44</v>
      </c>
      <c r="H57">
        <v>0</v>
      </c>
    </row>
    <row r="58" spans="2:8">
      <c r="B58">
        <v>0.12559999999999999</v>
      </c>
      <c r="C58">
        <v>0.4</v>
      </c>
      <c r="D58">
        <v>0.13719999999999999</v>
      </c>
      <c r="E58">
        <v>1.117</v>
      </c>
      <c r="F58">
        <v>0.442</v>
      </c>
      <c r="G58">
        <v>0.46200000000000002</v>
      </c>
      <c r="H58">
        <v>0.48299999999999998</v>
      </c>
    </row>
    <row r="59" spans="2:8">
      <c r="B59">
        <v>0.13847000000000001</v>
      </c>
      <c r="C59">
        <v>0.42</v>
      </c>
      <c r="D59">
        <v>0.1244</v>
      </c>
      <c r="E59">
        <v>1.232</v>
      </c>
      <c r="F59">
        <v>0.46400000000000002</v>
      </c>
      <c r="G59">
        <v>0.48399999999999999</v>
      </c>
      <c r="H59">
        <v>0</v>
      </c>
    </row>
    <row r="60" spans="2:8">
      <c r="B60">
        <v>0.15895999999999999</v>
      </c>
      <c r="C60">
        <v>0.45</v>
      </c>
      <c r="D60">
        <v>0.1084</v>
      </c>
      <c r="E60">
        <v>1.4139999999999999</v>
      </c>
      <c r="F60">
        <v>0.495</v>
      </c>
      <c r="G60">
        <v>0.51600000000000001</v>
      </c>
      <c r="H60">
        <v>0.53800000000000003</v>
      </c>
    </row>
    <row r="61" spans="2:8">
      <c r="B61">
        <v>0.18085999999999999</v>
      </c>
      <c r="C61">
        <v>0.48</v>
      </c>
      <c r="D61">
        <v>9.5299999999999996E-2</v>
      </c>
      <c r="E61">
        <v>1.609</v>
      </c>
      <c r="F61">
        <v>0.52700000000000002</v>
      </c>
      <c r="G61">
        <v>0.54800000000000004</v>
      </c>
      <c r="H61">
        <v>0</v>
      </c>
    </row>
    <row r="62" spans="2:8">
      <c r="B62">
        <v>0.19625000000000001</v>
      </c>
      <c r="C62">
        <v>0.5</v>
      </c>
      <c r="D62">
        <v>8.7800000000000003E-2</v>
      </c>
      <c r="E62">
        <v>1.746</v>
      </c>
      <c r="F62">
        <v>0.54800000000000004</v>
      </c>
      <c r="G62">
        <v>0.56899999999999995</v>
      </c>
      <c r="H62">
        <v>0.59099999999999997</v>
      </c>
    </row>
    <row r="63" spans="2:8">
      <c r="B63">
        <v>0.21226</v>
      </c>
      <c r="C63">
        <v>0.52</v>
      </c>
      <c r="D63">
        <v>8.1199999999999994E-2</v>
      </c>
      <c r="E63">
        <v>1.8879999999999999</v>
      </c>
      <c r="F63">
        <v>0.56999999999999995</v>
      </c>
      <c r="G63">
        <v>0.59</v>
      </c>
      <c r="H63">
        <v>0</v>
      </c>
    </row>
    <row r="64" spans="2:8">
      <c r="B64">
        <v>0.23746</v>
      </c>
      <c r="C64">
        <v>0.55000000000000004</v>
      </c>
      <c r="D64">
        <v>7.2599999999999998E-2</v>
      </c>
      <c r="E64">
        <v>2.1120000000000001</v>
      </c>
      <c r="F64">
        <v>0.6</v>
      </c>
      <c r="G64">
        <v>0.622</v>
      </c>
      <c r="H64">
        <v>0</v>
      </c>
    </row>
    <row r="65" spans="2:8">
      <c r="B65">
        <v>0.24617</v>
      </c>
      <c r="C65">
        <v>0.56000000000000005</v>
      </c>
      <c r="D65">
        <v>7.0000000000000007E-2</v>
      </c>
      <c r="E65">
        <v>2.1890000000000001</v>
      </c>
      <c r="F65">
        <v>0.61099999999999999</v>
      </c>
      <c r="G65">
        <v>0.63200000000000001</v>
      </c>
      <c r="H65">
        <v>0.65600000000000003</v>
      </c>
    </row>
    <row r="66" spans="2:8">
      <c r="B66">
        <v>0.26407000000000003</v>
      </c>
      <c r="C66">
        <v>0.57999999999999996</v>
      </c>
      <c r="D66">
        <v>6.5299999999999997E-2</v>
      </c>
      <c r="E66">
        <v>2.3490000000000002</v>
      </c>
      <c r="F66">
        <v>0.63300000000000001</v>
      </c>
      <c r="G66">
        <v>0.65100000000000002</v>
      </c>
      <c r="H66">
        <v>0</v>
      </c>
    </row>
    <row r="67" spans="2:8">
      <c r="B67">
        <v>0.28260000000000002</v>
      </c>
      <c r="C67">
        <v>0.6</v>
      </c>
      <c r="D67">
        <v>6.1100000000000002E-2</v>
      </c>
      <c r="E67">
        <v>2.5139999999999998</v>
      </c>
      <c r="F67">
        <v>0.65300000000000002</v>
      </c>
      <c r="G67">
        <v>0.67300000000000004</v>
      </c>
      <c r="H67">
        <v>0</v>
      </c>
    </row>
    <row r="68" spans="2:8">
      <c r="B68">
        <v>0.31156</v>
      </c>
      <c r="C68">
        <v>0.63</v>
      </c>
      <c r="D68">
        <v>5.6529999999999997E-2</v>
      </c>
      <c r="E68">
        <v>2.7709999999999999</v>
      </c>
      <c r="F68">
        <v>0.68400000000000005</v>
      </c>
      <c r="G68">
        <v>0.70599999999999996</v>
      </c>
      <c r="H68">
        <v>0.73</v>
      </c>
    </row>
    <row r="69" spans="2:8">
      <c r="B69">
        <v>0.33166000000000001</v>
      </c>
      <c r="C69">
        <v>0.65</v>
      </c>
      <c r="D69">
        <v>5.1900000000000002E-2</v>
      </c>
      <c r="E69">
        <v>2.95</v>
      </c>
      <c r="F69">
        <v>0.70599999999999996</v>
      </c>
      <c r="G69">
        <v>0.72799999999999998</v>
      </c>
      <c r="H69">
        <v>0</v>
      </c>
    </row>
    <row r="70" spans="2:8">
      <c r="B70">
        <v>0.38464999999999999</v>
      </c>
      <c r="C70">
        <v>0.7</v>
      </c>
      <c r="D70">
        <v>4.48E-2</v>
      </c>
      <c r="E70">
        <v>3.4209999999999998</v>
      </c>
      <c r="F70">
        <v>0</v>
      </c>
      <c r="G70">
        <v>0.78</v>
      </c>
      <c r="H70">
        <v>0</v>
      </c>
    </row>
    <row r="71" spans="2:8">
      <c r="B71">
        <v>0.39572000000000002</v>
      </c>
      <c r="C71">
        <v>0.71</v>
      </c>
      <c r="D71">
        <v>4.3499999999999997E-2</v>
      </c>
      <c r="E71">
        <v>3.52</v>
      </c>
      <c r="F71">
        <v>0.76700000000000002</v>
      </c>
      <c r="G71">
        <v>0.79</v>
      </c>
      <c r="H71">
        <v>0.81499999999999995</v>
      </c>
    </row>
    <row r="72" spans="2:8">
      <c r="B72">
        <v>0.44156000000000001</v>
      </c>
      <c r="C72">
        <v>0.75</v>
      </c>
      <c r="D72">
        <v>3.9100000000000003E-2</v>
      </c>
      <c r="E72">
        <v>3.9279999999999999</v>
      </c>
      <c r="F72">
        <v>0.80900000000000005</v>
      </c>
      <c r="G72">
        <v>0.83199999999999996</v>
      </c>
      <c r="H72">
        <v>0.85799999999999998</v>
      </c>
    </row>
    <row r="73" spans="2:8">
      <c r="B73">
        <v>0.50239999999999996</v>
      </c>
      <c r="C73">
        <v>0.8</v>
      </c>
      <c r="D73">
        <v>3.4299999999999997E-2</v>
      </c>
      <c r="E73">
        <v>4.4690000000000003</v>
      </c>
      <c r="F73">
        <v>0.86099999999999999</v>
      </c>
      <c r="G73">
        <v>0.88500000000000001</v>
      </c>
      <c r="H73">
        <v>0.91100000000000003</v>
      </c>
    </row>
    <row r="74" spans="2:8">
      <c r="B74">
        <v>0.56716</v>
      </c>
      <c r="C74">
        <v>0.85</v>
      </c>
      <c r="D74">
        <v>3.04E-2</v>
      </c>
      <c r="E74">
        <v>5.0449999999999999</v>
      </c>
      <c r="F74">
        <v>0.91300000000000003</v>
      </c>
      <c r="G74">
        <v>0.93700000000000006</v>
      </c>
      <c r="H74">
        <v>0.96399999999999997</v>
      </c>
    </row>
    <row r="75" spans="2:8">
      <c r="B75">
        <v>0.63585000000000003</v>
      </c>
      <c r="C75">
        <v>0.9</v>
      </c>
      <c r="D75">
        <v>2.7099999999999999E-2</v>
      </c>
      <c r="E75">
        <v>5.6559999999999997</v>
      </c>
      <c r="F75">
        <v>0.96499999999999997</v>
      </c>
      <c r="G75">
        <v>0.99</v>
      </c>
      <c r="H75">
        <v>1.0169999999999999</v>
      </c>
    </row>
    <row r="76" spans="2:8">
      <c r="B76">
        <v>0.70845999999999998</v>
      </c>
      <c r="C76">
        <v>0.95</v>
      </c>
      <c r="D76">
        <v>2.4299999999999999E-2</v>
      </c>
      <c r="E76">
        <v>6.3010000000000002</v>
      </c>
      <c r="F76">
        <v>1.0169999999999999</v>
      </c>
      <c r="G76">
        <v>1.0409999999999999</v>
      </c>
      <c r="H76">
        <v>1.07</v>
      </c>
    </row>
    <row r="77" spans="2:8">
      <c r="B77">
        <v>0.78500000000000003</v>
      </c>
      <c r="C77">
        <v>1</v>
      </c>
      <c r="D77">
        <v>2.1999999999999999E-2</v>
      </c>
      <c r="E77">
        <v>6.9820000000000002</v>
      </c>
      <c r="F77">
        <v>1.0680000000000001</v>
      </c>
      <c r="G77">
        <v>1.093</v>
      </c>
      <c r="H77">
        <v>1.123</v>
      </c>
    </row>
    <row r="78" spans="2:8">
      <c r="B78">
        <v>0.88202000000000003</v>
      </c>
      <c r="C78">
        <v>1.06</v>
      </c>
      <c r="D78">
        <v>1.95E-2</v>
      </c>
      <c r="E78">
        <v>7.8449999999999998</v>
      </c>
      <c r="F78">
        <v>1.1299999999999999</v>
      </c>
      <c r="G78">
        <v>1.153</v>
      </c>
      <c r="H78">
        <v>1.1839999999999999</v>
      </c>
    </row>
    <row r="79" spans="2:8">
      <c r="B79">
        <v>0.94984999999999997</v>
      </c>
      <c r="C79">
        <v>1.1000000000000001</v>
      </c>
      <c r="D79">
        <v>1.8200000000000001E-2</v>
      </c>
      <c r="E79">
        <v>8.4480000000000004</v>
      </c>
      <c r="F79">
        <v>0</v>
      </c>
      <c r="G79">
        <v>1.196</v>
      </c>
      <c r="H79">
        <v>1.2250000000000001</v>
      </c>
    </row>
    <row r="80" spans="2:8">
      <c r="B80">
        <v>0.98470000000000002</v>
      </c>
      <c r="C80">
        <v>1.1200000000000001</v>
      </c>
      <c r="D80">
        <v>1.7500000000000002E-2</v>
      </c>
      <c r="E80">
        <v>8.7579999999999991</v>
      </c>
      <c r="F80">
        <v>1.1919999999999999</v>
      </c>
      <c r="G80">
        <v>1.2170000000000001</v>
      </c>
      <c r="H80">
        <v>1.246</v>
      </c>
    </row>
    <row r="81" spans="2:8">
      <c r="B81">
        <v>1.0930299999999999</v>
      </c>
      <c r="C81">
        <v>1.18</v>
      </c>
      <c r="D81">
        <v>1.5699999999999999E-2</v>
      </c>
      <c r="E81">
        <v>9.7219999999999995</v>
      </c>
      <c r="F81">
        <v>1.254</v>
      </c>
      <c r="G81">
        <v>1.2789999999999999</v>
      </c>
      <c r="H81">
        <v>1.3080000000000001</v>
      </c>
    </row>
    <row r="82" spans="2:8">
      <c r="B82">
        <v>1.1304000000000001</v>
      </c>
      <c r="C82">
        <v>1.2</v>
      </c>
      <c r="D82">
        <v>1.5299999999999999E-2</v>
      </c>
      <c r="E82">
        <v>10.050000000000001</v>
      </c>
      <c r="F82">
        <v>1.2749999999999999</v>
      </c>
      <c r="G82">
        <v>1.3</v>
      </c>
      <c r="H82">
        <v>1.33</v>
      </c>
    </row>
    <row r="83" spans="2:8">
      <c r="B83">
        <v>1.2265600000000001</v>
      </c>
      <c r="C83">
        <v>1.25</v>
      </c>
      <c r="D83">
        <v>1.41E-2</v>
      </c>
      <c r="E83">
        <v>10.91</v>
      </c>
      <c r="F83">
        <v>1.325</v>
      </c>
      <c r="G83">
        <v>1.351</v>
      </c>
      <c r="H83">
        <v>1.381</v>
      </c>
    </row>
    <row r="84" spans="2:8">
      <c r="B84">
        <v>1.36778</v>
      </c>
      <c r="C84">
        <v>1.32</v>
      </c>
      <c r="D84">
        <v>1.26E-2</v>
      </c>
      <c r="E84">
        <v>12.16</v>
      </c>
      <c r="F84">
        <v>1.397</v>
      </c>
      <c r="G84">
        <v>1.423</v>
      </c>
      <c r="H84">
        <v>1.4530000000000001</v>
      </c>
    </row>
    <row r="85" spans="2:8">
      <c r="B85">
        <v>1.5386</v>
      </c>
      <c r="C85">
        <v>1.4</v>
      </c>
      <c r="D85">
        <v>1.12E-2</v>
      </c>
      <c r="E85">
        <v>13.68</v>
      </c>
      <c r="F85">
        <v>1.4790000000000001</v>
      </c>
      <c r="G85">
        <v>1.506</v>
      </c>
      <c r="H85">
        <v>1.5349999999999999</v>
      </c>
    </row>
    <row r="86" spans="2:8">
      <c r="B86">
        <v>1.7662500000000001</v>
      </c>
      <c r="C86">
        <v>1.5</v>
      </c>
      <c r="D86">
        <v>9.7999999999999997E-3</v>
      </c>
      <c r="E86">
        <v>15.79</v>
      </c>
      <c r="F86">
        <v>1.581</v>
      </c>
      <c r="G86">
        <v>1.6080000000000001</v>
      </c>
      <c r="H86">
        <v>1.6379999999999999</v>
      </c>
    </row>
    <row r="87" spans="2:8">
      <c r="B87">
        <v>2.0095999999999998</v>
      </c>
      <c r="C87">
        <v>1.6</v>
      </c>
      <c r="D87">
        <v>8.6E-3</v>
      </c>
      <c r="E87">
        <v>17.87</v>
      </c>
      <c r="F87">
        <v>1.6830000000000001</v>
      </c>
      <c r="G87">
        <v>1.7110000000000001</v>
      </c>
      <c r="H87">
        <v>1.7410000000000001</v>
      </c>
    </row>
    <row r="88" spans="2:8">
      <c r="B88">
        <v>2.2686500000000001</v>
      </c>
      <c r="C88">
        <v>1.7</v>
      </c>
      <c r="D88">
        <v>7.6E-3</v>
      </c>
      <c r="E88">
        <v>20.18</v>
      </c>
      <c r="F88">
        <v>1.7849999999999999</v>
      </c>
      <c r="G88">
        <v>1.8129999999999999</v>
      </c>
      <c r="H88">
        <v>1.8440000000000001</v>
      </c>
    </row>
    <row r="89" spans="2:8">
      <c r="B89">
        <v>2.5434000000000001</v>
      </c>
      <c r="C89">
        <v>1.8</v>
      </c>
      <c r="D89">
        <v>6.7999999999999996E-3</v>
      </c>
      <c r="E89">
        <v>22.62</v>
      </c>
      <c r="F89">
        <v>1.8879999999999999</v>
      </c>
      <c r="G89">
        <v>1.9159999999999999</v>
      </c>
      <c r="H89">
        <v>1.9470000000000001</v>
      </c>
    </row>
    <row r="90" spans="2:8">
      <c r="B90">
        <v>2.83385</v>
      </c>
      <c r="C90">
        <v>1.9</v>
      </c>
      <c r="D90">
        <v>6.1000000000000004E-3</v>
      </c>
      <c r="E90">
        <v>25.21</v>
      </c>
      <c r="F90">
        <v>1.99</v>
      </c>
      <c r="G90">
        <v>2.0179999999999998</v>
      </c>
      <c r="H90">
        <v>2.0489999999999999</v>
      </c>
    </row>
    <row r="91" spans="2:8">
      <c r="B91">
        <v>3.14</v>
      </c>
      <c r="C91">
        <v>2</v>
      </c>
      <c r="D91">
        <v>5.4999999999999997E-3</v>
      </c>
      <c r="E91">
        <v>27.93</v>
      </c>
      <c r="F91">
        <v>2.0920000000000001</v>
      </c>
      <c r="G91">
        <v>2.12</v>
      </c>
      <c r="H91">
        <v>2.1520000000000001</v>
      </c>
    </row>
    <row r="92" spans="2:8">
      <c r="B92">
        <v>3.5280999999999998</v>
      </c>
      <c r="C92">
        <v>2.12</v>
      </c>
      <c r="D92">
        <v>5.0000000000000001E-3</v>
      </c>
      <c r="E92">
        <v>31.38</v>
      </c>
      <c r="F92">
        <v>2.214</v>
      </c>
      <c r="G92">
        <v>2.2429999999999999</v>
      </c>
      <c r="H92">
        <v>2.2749999999999999</v>
      </c>
    </row>
    <row r="93" spans="2:8">
      <c r="B93">
        <v>3.9388100000000001</v>
      </c>
      <c r="C93">
        <v>2.2400000000000002</v>
      </c>
      <c r="D93">
        <v>4.4000000000000003E-3</v>
      </c>
      <c r="E93">
        <v>35.03</v>
      </c>
      <c r="F93">
        <v>2.3359999999999999</v>
      </c>
      <c r="G93">
        <v>2.3660000000000001</v>
      </c>
      <c r="H93">
        <v>2.3980000000000001</v>
      </c>
    </row>
    <row r="94" spans="2:8">
      <c r="B94">
        <v>4.3721300000000003</v>
      </c>
      <c r="C94">
        <v>2.36</v>
      </c>
      <c r="D94">
        <v>4.0000000000000001E-3</v>
      </c>
      <c r="E94">
        <v>38.880000000000003</v>
      </c>
      <c r="F94">
        <v>2.4590000000000001</v>
      </c>
      <c r="G94">
        <v>2.488</v>
      </c>
      <c r="H94">
        <v>2.5219999999999998</v>
      </c>
    </row>
    <row r="95" spans="2:8">
      <c r="B95">
        <v>4.90625</v>
      </c>
      <c r="C95">
        <v>2.5</v>
      </c>
      <c r="D95">
        <v>3.5000000000000001E-3</v>
      </c>
      <c r="E95">
        <v>43.64</v>
      </c>
      <c r="F95">
        <v>2.601</v>
      </c>
      <c r="G95">
        <v>2.6309999999999998</v>
      </c>
      <c r="H95">
        <v>2.665</v>
      </c>
    </row>
    <row r="96" spans="2:8">
      <c r="B96">
        <v>5.5126600000000003</v>
      </c>
      <c r="C96">
        <v>2.65</v>
      </c>
      <c r="D96">
        <v>3.2000000000000002E-3</v>
      </c>
      <c r="E96">
        <v>49.03</v>
      </c>
      <c r="F96">
        <v>2.754</v>
      </c>
      <c r="G96">
        <v>2.7839999999999998</v>
      </c>
      <c r="H96">
        <v>2.819</v>
      </c>
    </row>
    <row r="97" spans="1:31">
      <c r="B97">
        <v>6.1543999999999999</v>
      </c>
      <c r="C97">
        <v>2.8</v>
      </c>
      <c r="D97">
        <v>2.8E-3</v>
      </c>
      <c r="E97">
        <v>54.74</v>
      </c>
      <c r="F97">
        <v>2.907</v>
      </c>
      <c r="G97">
        <v>2.9380000000000002</v>
      </c>
      <c r="H97">
        <v>2.972</v>
      </c>
    </row>
    <row r="98" spans="1:31">
      <c r="B98">
        <v>7.0650000000000004</v>
      </c>
      <c r="C98">
        <v>3</v>
      </c>
      <c r="D98">
        <v>2.5000000000000001E-3</v>
      </c>
      <c r="E98">
        <v>62.84</v>
      </c>
      <c r="F98">
        <v>3.11</v>
      </c>
      <c r="G98">
        <v>3.1419999999999999</v>
      </c>
      <c r="H98">
        <v>3.1760000000000002</v>
      </c>
    </row>
    <row r="99" spans="1:31">
      <c r="B99">
        <v>7.7931100000000004</v>
      </c>
      <c r="C99">
        <v>3.15</v>
      </c>
      <c r="D99">
        <v>2.212E-3</v>
      </c>
      <c r="E99">
        <v>65.28</v>
      </c>
      <c r="F99">
        <v>3.2629999999999999</v>
      </c>
      <c r="G99">
        <v>3.2949999999999999</v>
      </c>
      <c r="H99">
        <v>3.327</v>
      </c>
    </row>
    <row r="100" spans="1:31">
      <c r="B100">
        <v>8.8141300000000005</v>
      </c>
      <c r="C100">
        <v>3.35</v>
      </c>
      <c r="D100">
        <v>1.9559999999999998E-3</v>
      </c>
      <c r="E100">
        <v>78.36</v>
      </c>
      <c r="F100">
        <v>3.4660000000000002</v>
      </c>
      <c r="G100">
        <v>3.4980000000000002</v>
      </c>
      <c r="H100">
        <v>3.5310000000000001</v>
      </c>
    </row>
    <row r="101" spans="1:31">
      <c r="B101">
        <v>9.8979800000000004</v>
      </c>
      <c r="C101">
        <v>3.55</v>
      </c>
      <c r="D101">
        <v>1.7420000000000001E-3</v>
      </c>
      <c r="E101">
        <v>87.99</v>
      </c>
      <c r="F101">
        <v>3.67</v>
      </c>
      <c r="G101">
        <v>3.7029999999999998</v>
      </c>
      <c r="H101">
        <v>3.7349999999999999</v>
      </c>
    </row>
    <row r="102" spans="1:31">
      <c r="B102">
        <v>15.904311999999999</v>
      </c>
      <c r="C102">
        <v>4.5</v>
      </c>
      <c r="D102">
        <v>1.0839999999999999E-3</v>
      </c>
      <c r="E102">
        <v>141.4</v>
      </c>
      <c r="F102">
        <v>4.6340000000000003</v>
      </c>
      <c r="G102">
        <v>4.6669999999999998</v>
      </c>
      <c r="H102">
        <v>4.6989999999999998</v>
      </c>
    </row>
    <row r="103" spans="1:31">
      <c r="B103">
        <v>17.72054</v>
      </c>
      <c r="C103">
        <v>4.75</v>
      </c>
      <c r="D103">
        <v>9.7300000000000002E-4</v>
      </c>
      <c r="E103">
        <v>157.5</v>
      </c>
      <c r="F103">
        <v>4.8890000000000002</v>
      </c>
      <c r="G103">
        <v>4.9219999999999997</v>
      </c>
      <c r="H103">
        <v>4.9539999999999997</v>
      </c>
    </row>
    <row r="104" spans="1:31">
      <c r="B104">
        <v>19.63495</v>
      </c>
      <c r="C104">
        <v>5</v>
      </c>
      <c r="D104">
        <v>8.7799999999999998E-4</v>
      </c>
      <c r="E104">
        <v>174.6</v>
      </c>
      <c r="F104">
        <v>5.1420000000000003</v>
      </c>
      <c r="G104">
        <v>5.1760000000000002</v>
      </c>
      <c r="H104">
        <v>5.21</v>
      </c>
    </row>
    <row r="106" spans="1:31">
      <c r="A106" s="78"/>
      <c r="B106" s="78"/>
      <c r="C106" s="78"/>
      <c r="D106" s="78"/>
      <c r="E106" s="78"/>
      <c r="F106" s="78"/>
      <c r="G106" s="78"/>
      <c r="I106" s="78"/>
      <c r="J106" s="78"/>
      <c r="K106" s="78"/>
      <c r="L106" s="78"/>
      <c r="M106" s="78"/>
      <c r="N106" s="78"/>
      <c r="O106" s="78"/>
      <c r="P106" s="45"/>
      <c r="Q106" s="78"/>
      <c r="R106" s="78"/>
      <c r="S106" s="78"/>
      <c r="T106" s="78"/>
      <c r="U106" s="78"/>
      <c r="V106" s="78"/>
      <c r="W106" s="78"/>
      <c r="X106" s="45"/>
      <c r="Y106" s="45"/>
      <c r="Z106" s="45"/>
      <c r="AA106" s="45"/>
      <c r="AB106" s="45"/>
      <c r="AC106" s="45"/>
      <c r="AD106" s="45"/>
      <c r="AE106" s="45"/>
    </row>
    <row r="107" spans="1:31">
      <c r="B107" s="8" t="s">
        <v>467</v>
      </c>
      <c r="D107" t="s">
        <v>468</v>
      </c>
    </row>
    <row r="108" spans="1:31">
      <c r="D108" t="s">
        <v>469</v>
      </c>
      <c r="W108" t="s">
        <v>470</v>
      </c>
    </row>
    <row r="109" spans="1:31">
      <c r="W109" t="s">
        <v>471</v>
      </c>
      <c r="X109" t="s">
        <v>44</v>
      </c>
      <c r="Y109" t="s">
        <v>472</v>
      </c>
    </row>
    <row r="110" spans="1:31">
      <c r="A110" t="s">
        <v>473</v>
      </c>
      <c r="C110">
        <v>0.8</v>
      </c>
      <c r="D110">
        <v>0.9</v>
      </c>
      <c r="E110">
        <v>1</v>
      </c>
      <c r="F110">
        <v>1.1200000000000001</v>
      </c>
      <c r="G110">
        <v>1.25</v>
      </c>
      <c r="H110">
        <v>1.4</v>
      </c>
      <c r="I110">
        <v>1.6</v>
      </c>
      <c r="J110">
        <v>1.8</v>
      </c>
      <c r="K110">
        <v>2</v>
      </c>
      <c r="L110">
        <v>2.2400000000000002</v>
      </c>
      <c r="M110">
        <v>2.5</v>
      </c>
      <c r="N110">
        <v>2.8</v>
      </c>
      <c r="O110">
        <v>3.25</v>
      </c>
      <c r="P110">
        <v>3.55</v>
      </c>
      <c r="Q110">
        <v>4</v>
      </c>
      <c r="R110">
        <v>4.5</v>
      </c>
      <c r="S110">
        <v>5</v>
      </c>
      <c r="T110">
        <v>5.6</v>
      </c>
    </row>
    <row r="111" spans="1:31">
      <c r="A111" t="s">
        <v>472</v>
      </c>
      <c r="B111">
        <v>2</v>
      </c>
      <c r="C111">
        <v>1.4630000000000001</v>
      </c>
      <c r="D111">
        <v>1.6259999999999999</v>
      </c>
      <c r="E111">
        <v>1.7849999999999999</v>
      </c>
      <c r="F111">
        <v>2.0249999999999999</v>
      </c>
      <c r="G111">
        <v>2.2850000000000001</v>
      </c>
      <c r="H111">
        <v>2.585</v>
      </c>
      <c r="W111">
        <v>1.4630000000000001</v>
      </c>
      <c r="X111">
        <v>0.8</v>
      </c>
      <c r="Y111">
        <v>2</v>
      </c>
    </row>
    <row r="112" spans="1:31">
      <c r="B112">
        <v>2.2400000000000002</v>
      </c>
      <c r="C112">
        <v>1.655</v>
      </c>
      <c r="D112">
        <v>1.8420000000000001</v>
      </c>
      <c r="E112">
        <v>2.0249999999999999</v>
      </c>
      <c r="F112">
        <v>2.294</v>
      </c>
      <c r="G112">
        <v>2.585</v>
      </c>
      <c r="H112">
        <v>2.9209999999999998</v>
      </c>
      <c r="I112">
        <v>3.3690000000000002</v>
      </c>
      <c r="W112">
        <v>1.6259999999999999</v>
      </c>
      <c r="X112">
        <v>0.9</v>
      </c>
      <c r="Y112">
        <v>2</v>
      </c>
    </row>
    <row r="113" spans="2:25">
      <c r="B113">
        <v>2.5</v>
      </c>
      <c r="C113">
        <v>1.863</v>
      </c>
      <c r="D113">
        <v>2.0760000000000001</v>
      </c>
      <c r="E113">
        <v>2.2850000000000001</v>
      </c>
      <c r="F113">
        <v>2.585</v>
      </c>
      <c r="G113">
        <v>2.91</v>
      </c>
      <c r="H113">
        <v>2.2850000000000001</v>
      </c>
      <c r="I113">
        <v>3.7850000000000001</v>
      </c>
      <c r="J113">
        <v>4.1369999999999996</v>
      </c>
      <c r="W113">
        <v>1.655</v>
      </c>
      <c r="X113">
        <v>0.8</v>
      </c>
      <c r="Y113">
        <v>2.2400000000000002</v>
      </c>
    </row>
    <row r="114" spans="2:25">
      <c r="B114">
        <v>2.8</v>
      </c>
      <c r="C114">
        <v>2.1030000000000002</v>
      </c>
      <c r="D114">
        <v>2.3460000000000001</v>
      </c>
      <c r="E114">
        <v>2.585</v>
      </c>
      <c r="F114">
        <v>2.9209999999999998</v>
      </c>
      <c r="G114">
        <v>3.2850000000000001</v>
      </c>
      <c r="H114">
        <v>3.7050000000000001</v>
      </c>
      <c r="I114">
        <v>4.2649999999999997</v>
      </c>
      <c r="J114">
        <v>4.6769999999999996</v>
      </c>
      <c r="K114">
        <v>5.2370000000000001</v>
      </c>
      <c r="W114">
        <v>1.7849999999999999</v>
      </c>
      <c r="X114">
        <v>0.1</v>
      </c>
      <c r="Y114">
        <v>2</v>
      </c>
    </row>
    <row r="115" spans="2:25">
      <c r="B115">
        <v>3.15</v>
      </c>
      <c r="C115">
        <v>2.383</v>
      </c>
      <c r="D115">
        <v>2.661</v>
      </c>
      <c r="E115">
        <v>2.9350000000000001</v>
      </c>
      <c r="F115">
        <v>3.3130000000000002</v>
      </c>
      <c r="G115">
        <v>3.7229999999999999</v>
      </c>
      <c r="H115">
        <v>4.1950000000000003</v>
      </c>
      <c r="I115">
        <v>4.8250000000000002</v>
      </c>
      <c r="J115">
        <v>5.3070000000000004</v>
      </c>
      <c r="K115">
        <v>5.9370000000000003</v>
      </c>
      <c r="L115">
        <v>6.6929999999999996</v>
      </c>
      <c r="W115">
        <v>1.8420000000000001</v>
      </c>
      <c r="X115">
        <v>0.9</v>
      </c>
      <c r="Y115">
        <v>2.2400000000000002</v>
      </c>
    </row>
    <row r="116" spans="2:25">
      <c r="B116">
        <v>3.55</v>
      </c>
      <c r="C116">
        <v>2.7029999999999998</v>
      </c>
      <c r="D116">
        <v>3.0209999999999999</v>
      </c>
      <c r="E116">
        <v>3.335</v>
      </c>
      <c r="F116">
        <v>3.7610000000000001</v>
      </c>
      <c r="G116">
        <v>4.2229999999999999</v>
      </c>
      <c r="H116">
        <v>4.7549999999999999</v>
      </c>
      <c r="I116">
        <v>5.4649999999999999</v>
      </c>
      <c r="J116">
        <v>6.0270000000000001</v>
      </c>
      <c r="K116">
        <v>6.7370000000000001</v>
      </c>
      <c r="L116">
        <v>7.5890000000000004</v>
      </c>
      <c r="M116">
        <v>8.3260000000000005</v>
      </c>
      <c r="W116">
        <v>1.863</v>
      </c>
      <c r="X116">
        <v>0.8</v>
      </c>
      <c r="Y116">
        <v>2.5</v>
      </c>
    </row>
    <row r="117" spans="2:25">
      <c r="B117">
        <v>4</v>
      </c>
      <c r="C117">
        <v>3.0630000000000002</v>
      </c>
      <c r="D117">
        <v>3.4260000000000002</v>
      </c>
      <c r="E117">
        <v>3.7850000000000001</v>
      </c>
      <c r="F117">
        <v>4.2649999999999997</v>
      </c>
      <c r="G117">
        <v>4.7850000000000001</v>
      </c>
      <c r="H117">
        <v>5.3849999999999998</v>
      </c>
      <c r="I117">
        <v>6.1849999999999996</v>
      </c>
      <c r="J117">
        <v>6.8369999999999997</v>
      </c>
      <c r="K117">
        <v>7.6369999999999996</v>
      </c>
      <c r="L117">
        <v>8.5969999999999995</v>
      </c>
      <c r="M117">
        <v>9.4510000000000005</v>
      </c>
      <c r="N117">
        <v>10.65</v>
      </c>
      <c r="W117">
        <v>2.0249999999999999</v>
      </c>
      <c r="X117">
        <v>0.1</v>
      </c>
      <c r="Y117">
        <v>2.2400000000000002</v>
      </c>
    </row>
    <row r="118" spans="2:25">
      <c r="B118">
        <v>4.5</v>
      </c>
      <c r="C118">
        <v>4.4630000000000001</v>
      </c>
      <c r="D118">
        <v>3.8759999999999999</v>
      </c>
      <c r="E118">
        <v>4.2850000000000001</v>
      </c>
      <c r="F118">
        <v>4.8250000000000002</v>
      </c>
      <c r="G118">
        <v>5.41</v>
      </c>
      <c r="H118">
        <v>6.085</v>
      </c>
      <c r="I118">
        <v>6.9850000000000003</v>
      </c>
      <c r="J118">
        <v>7.7370000000000001</v>
      </c>
      <c r="K118">
        <v>8.6370000000000005</v>
      </c>
      <c r="L118">
        <v>9.7170000000000005</v>
      </c>
      <c r="M118">
        <v>10.7</v>
      </c>
      <c r="N118">
        <v>12.05</v>
      </c>
      <c r="O118">
        <v>13.63</v>
      </c>
      <c r="W118">
        <v>2.0249999999999999</v>
      </c>
      <c r="X118">
        <v>1.1200000000000001</v>
      </c>
      <c r="Y118">
        <v>2</v>
      </c>
    </row>
    <row r="119" spans="2:25">
      <c r="B119">
        <v>5</v>
      </c>
      <c r="C119">
        <v>3.863</v>
      </c>
      <c r="D119">
        <v>4.3259999999999996</v>
      </c>
      <c r="E119">
        <v>4.7850000000000001</v>
      </c>
      <c r="F119">
        <v>5.3849999999999998</v>
      </c>
      <c r="G119">
        <v>6.0350000000000001</v>
      </c>
      <c r="H119">
        <v>6.7850000000000001</v>
      </c>
      <c r="I119">
        <v>7.7850000000000001</v>
      </c>
      <c r="J119">
        <v>8.6370000000000005</v>
      </c>
      <c r="K119">
        <v>9.6370000000000005</v>
      </c>
      <c r="L119">
        <v>10.84</v>
      </c>
      <c r="M119">
        <v>11.95</v>
      </c>
      <c r="N119">
        <v>13.45</v>
      </c>
      <c r="O119">
        <v>15.2</v>
      </c>
      <c r="P119">
        <v>17.2</v>
      </c>
      <c r="W119">
        <v>2.0760000000000001</v>
      </c>
      <c r="X119">
        <v>0.9</v>
      </c>
      <c r="Y119">
        <v>2.5</v>
      </c>
    </row>
    <row r="120" spans="2:25">
      <c r="B120">
        <v>5.6</v>
      </c>
      <c r="C120">
        <v>4.343</v>
      </c>
      <c r="D120">
        <v>4.8659999999999997</v>
      </c>
      <c r="E120">
        <v>5.3849999999999998</v>
      </c>
      <c r="F120">
        <v>6.0570000000000004</v>
      </c>
      <c r="G120">
        <v>6.7850000000000001</v>
      </c>
      <c r="H120">
        <v>7.625</v>
      </c>
      <c r="I120">
        <v>8.7449999999999992</v>
      </c>
      <c r="J120">
        <v>9.7170000000000005</v>
      </c>
      <c r="K120">
        <v>10.84</v>
      </c>
      <c r="L120">
        <v>12.18</v>
      </c>
      <c r="M120">
        <v>13.45</v>
      </c>
      <c r="N120">
        <v>15.13</v>
      </c>
      <c r="O120">
        <v>17.09</v>
      </c>
      <c r="P120">
        <v>19.329999999999998</v>
      </c>
      <c r="Q120">
        <v>21.54</v>
      </c>
      <c r="W120">
        <v>2.1030000000000002</v>
      </c>
      <c r="X120">
        <v>0.8</v>
      </c>
      <c r="Y120">
        <v>2.8</v>
      </c>
    </row>
    <row r="121" spans="2:25">
      <c r="B121">
        <v>6.3</v>
      </c>
      <c r="C121">
        <v>4.9029999999999996</v>
      </c>
      <c r="D121">
        <v>5.4960000000000004</v>
      </c>
      <c r="E121">
        <v>6.085</v>
      </c>
      <c r="F121">
        <v>6.8410000000000002</v>
      </c>
      <c r="G121">
        <v>7.66</v>
      </c>
      <c r="H121">
        <v>8.6050000000000004</v>
      </c>
      <c r="I121">
        <v>9.8650000000000002</v>
      </c>
      <c r="J121">
        <v>10.98</v>
      </c>
      <c r="K121">
        <v>12.24</v>
      </c>
      <c r="L121">
        <v>13.75</v>
      </c>
      <c r="M121">
        <v>15.2</v>
      </c>
      <c r="N121">
        <v>17.09</v>
      </c>
      <c r="O121">
        <v>19.3</v>
      </c>
      <c r="P121">
        <v>21.82</v>
      </c>
      <c r="Q121">
        <v>24.34</v>
      </c>
      <c r="R121">
        <v>27.49</v>
      </c>
      <c r="W121">
        <v>2.2850000000000001</v>
      </c>
      <c r="X121">
        <v>0.1</v>
      </c>
      <c r="Y121">
        <v>2.5</v>
      </c>
    </row>
    <row r="122" spans="2:25">
      <c r="B122">
        <v>7.1</v>
      </c>
      <c r="D122">
        <v>6.2160000000000002</v>
      </c>
      <c r="E122">
        <v>6.8849999999999998</v>
      </c>
      <c r="F122">
        <v>7.7370000000000001</v>
      </c>
      <c r="G122">
        <v>8.6</v>
      </c>
      <c r="H122">
        <v>9.7249999999999996</v>
      </c>
      <c r="I122">
        <v>11.15</v>
      </c>
      <c r="J122">
        <v>12.42</v>
      </c>
      <c r="K122">
        <v>13.84</v>
      </c>
      <c r="L122">
        <v>15.54</v>
      </c>
      <c r="M122">
        <v>17.2</v>
      </c>
      <c r="N122">
        <v>19.329999999999998</v>
      </c>
      <c r="O122">
        <v>21.82</v>
      </c>
      <c r="P122">
        <v>24.66</v>
      </c>
      <c r="Q122">
        <v>27.54</v>
      </c>
      <c r="R122">
        <v>31.09</v>
      </c>
      <c r="S122">
        <v>34.64</v>
      </c>
      <c r="W122">
        <v>2.2850000000000001</v>
      </c>
      <c r="X122">
        <v>1.25</v>
      </c>
      <c r="Y122">
        <v>2</v>
      </c>
    </row>
    <row r="123" spans="2:25">
      <c r="B123">
        <v>8</v>
      </c>
      <c r="E123">
        <v>7.7850000000000001</v>
      </c>
      <c r="F123">
        <v>8.7449999999999992</v>
      </c>
      <c r="G123">
        <v>9.7850000000000001</v>
      </c>
      <c r="H123">
        <v>10.99</v>
      </c>
      <c r="I123">
        <v>12.59</v>
      </c>
      <c r="J123">
        <v>14.04</v>
      </c>
      <c r="K123">
        <v>15.64</v>
      </c>
      <c r="L123">
        <v>17.559999999999999</v>
      </c>
      <c r="M123">
        <v>19.45</v>
      </c>
      <c r="N123">
        <v>21.85</v>
      </c>
      <c r="O123">
        <v>24.65</v>
      </c>
      <c r="P123">
        <v>27.85</v>
      </c>
      <c r="Q123">
        <v>31.14</v>
      </c>
      <c r="R123">
        <v>35.14</v>
      </c>
      <c r="S123">
        <v>39.14</v>
      </c>
      <c r="T123">
        <v>43.94</v>
      </c>
      <c r="W123">
        <v>2.2850000000000001</v>
      </c>
      <c r="X123">
        <v>1.4</v>
      </c>
      <c r="Y123">
        <v>2.5</v>
      </c>
    </row>
    <row r="124" spans="2:25">
      <c r="B124">
        <v>9</v>
      </c>
      <c r="F124">
        <v>9.8650000000000002</v>
      </c>
      <c r="G124">
        <v>11.04</v>
      </c>
      <c r="H124">
        <v>12.39</v>
      </c>
      <c r="I124">
        <v>14.19</v>
      </c>
      <c r="J124">
        <v>15.84</v>
      </c>
      <c r="K124">
        <v>17.64</v>
      </c>
      <c r="L124">
        <v>19.8</v>
      </c>
      <c r="M124">
        <v>21.95</v>
      </c>
      <c r="N124">
        <v>24.65</v>
      </c>
      <c r="O124">
        <v>27.8</v>
      </c>
      <c r="P124">
        <v>31.4</v>
      </c>
      <c r="Q124">
        <v>35.14</v>
      </c>
      <c r="R124">
        <v>39.64</v>
      </c>
      <c r="S124">
        <v>44.14</v>
      </c>
      <c r="T124">
        <v>49.54</v>
      </c>
      <c r="W124">
        <v>2.294</v>
      </c>
      <c r="X124">
        <v>1.1200000000000001</v>
      </c>
      <c r="Y124">
        <v>2.2400000000000002</v>
      </c>
    </row>
    <row r="125" spans="2:25">
      <c r="B125">
        <v>10</v>
      </c>
      <c r="G125">
        <v>12.29</v>
      </c>
      <c r="H125">
        <v>13.79</v>
      </c>
      <c r="I125">
        <v>15.79</v>
      </c>
      <c r="J125">
        <v>17.654</v>
      </c>
      <c r="K125">
        <v>19.64</v>
      </c>
      <c r="L125">
        <v>22.04</v>
      </c>
      <c r="M125">
        <v>24.45</v>
      </c>
      <c r="N125">
        <v>27.45</v>
      </c>
      <c r="O125">
        <v>30.95</v>
      </c>
      <c r="P125">
        <v>34.950000000000003</v>
      </c>
      <c r="Q125">
        <v>39.14</v>
      </c>
      <c r="R125">
        <v>44.14</v>
      </c>
      <c r="S125">
        <v>49.14</v>
      </c>
      <c r="T125">
        <v>55.14</v>
      </c>
      <c r="W125">
        <v>2.3460000000000001</v>
      </c>
      <c r="X125">
        <v>0.9</v>
      </c>
      <c r="Y125">
        <v>2.8</v>
      </c>
    </row>
    <row r="126" spans="2:25">
      <c r="B126">
        <v>11.2</v>
      </c>
      <c r="H126">
        <v>15.47</v>
      </c>
      <c r="I126">
        <v>17.71</v>
      </c>
      <c r="J126">
        <v>19.8</v>
      </c>
      <c r="K126">
        <v>22.04</v>
      </c>
      <c r="L126">
        <v>24.73</v>
      </c>
      <c r="M126">
        <v>27.45</v>
      </c>
      <c r="N126">
        <v>30.81</v>
      </c>
      <c r="O126">
        <v>34.729999999999997</v>
      </c>
      <c r="P126">
        <v>39.21</v>
      </c>
      <c r="Q126">
        <v>43.94</v>
      </c>
      <c r="R126">
        <v>49.54</v>
      </c>
      <c r="S126">
        <v>55.14</v>
      </c>
      <c r="T126">
        <v>61.86</v>
      </c>
      <c r="W126">
        <v>2.383</v>
      </c>
      <c r="X126">
        <v>0.8</v>
      </c>
      <c r="Y126">
        <v>3.15</v>
      </c>
    </row>
    <row r="127" spans="2:25">
      <c r="B127">
        <v>12.5</v>
      </c>
      <c r="I127">
        <v>19.79</v>
      </c>
      <c r="J127">
        <v>22.14</v>
      </c>
      <c r="K127">
        <v>24.64</v>
      </c>
      <c r="L127">
        <v>27.64</v>
      </c>
      <c r="M127">
        <v>30.7</v>
      </c>
      <c r="N127">
        <v>34.450000000000003</v>
      </c>
      <c r="O127">
        <v>38.83</v>
      </c>
      <c r="P127">
        <v>43.83</v>
      </c>
      <c r="Q127">
        <v>49.14</v>
      </c>
      <c r="R127">
        <v>55.39</v>
      </c>
      <c r="S127">
        <v>61.64</v>
      </c>
      <c r="T127">
        <v>69.14</v>
      </c>
      <c r="W127">
        <v>2.585</v>
      </c>
      <c r="X127">
        <v>0.1</v>
      </c>
      <c r="Y127">
        <v>2.8</v>
      </c>
    </row>
    <row r="128" spans="2:25">
      <c r="B128">
        <v>14</v>
      </c>
      <c r="J128">
        <v>24.84</v>
      </c>
      <c r="K128">
        <v>27.64</v>
      </c>
      <c r="L128">
        <v>31</v>
      </c>
      <c r="M128">
        <v>34.450000000000003</v>
      </c>
      <c r="N128">
        <v>38.65</v>
      </c>
      <c r="O128">
        <v>43.55</v>
      </c>
      <c r="P128">
        <v>49.15</v>
      </c>
      <c r="Q128">
        <v>55.14</v>
      </c>
      <c r="R128">
        <v>62.14</v>
      </c>
      <c r="S128">
        <v>69.14</v>
      </c>
      <c r="T128">
        <v>77.540000000000006</v>
      </c>
      <c r="W128">
        <v>2.585</v>
      </c>
      <c r="X128">
        <v>1.1200000000000001</v>
      </c>
      <c r="Y128">
        <v>2.5</v>
      </c>
    </row>
    <row r="129" spans="2:25">
      <c r="B129">
        <v>16</v>
      </c>
      <c r="K129">
        <v>31.64</v>
      </c>
      <c r="L129">
        <v>35.479999999999997</v>
      </c>
      <c r="M129">
        <v>39.450000000000003</v>
      </c>
      <c r="N129">
        <v>44.25</v>
      </c>
      <c r="O129">
        <v>49.85</v>
      </c>
      <c r="P129">
        <v>56.25</v>
      </c>
      <c r="Q129">
        <v>63.14</v>
      </c>
      <c r="R129">
        <v>71.14</v>
      </c>
      <c r="S129">
        <v>74.14</v>
      </c>
      <c r="T129">
        <v>78.739999999999995</v>
      </c>
      <c r="W129">
        <v>2.585</v>
      </c>
      <c r="X129">
        <v>1.25</v>
      </c>
      <c r="Y129">
        <v>2.2400000000000002</v>
      </c>
    </row>
    <row r="130" spans="2:25">
      <c r="W130">
        <v>2.585</v>
      </c>
      <c r="X130">
        <v>1.4</v>
      </c>
      <c r="Y130">
        <v>2</v>
      </c>
    </row>
    <row r="131" spans="2:25">
      <c r="W131">
        <v>2.661</v>
      </c>
      <c r="X131">
        <v>0.9</v>
      </c>
      <c r="Y131">
        <v>3.15</v>
      </c>
    </row>
    <row r="132" spans="2:25">
      <c r="W132">
        <v>2.7029999999999998</v>
      </c>
      <c r="X132">
        <v>0.8</v>
      </c>
      <c r="Y132">
        <v>3.55</v>
      </c>
    </row>
    <row r="133" spans="2:25">
      <c r="W133">
        <v>2.91</v>
      </c>
      <c r="X133">
        <v>1.25</v>
      </c>
      <c r="Y133">
        <v>2.5</v>
      </c>
    </row>
    <row r="134" spans="2:25">
      <c r="W134">
        <v>2.9209999999999998</v>
      </c>
      <c r="X134">
        <v>1.1200000000000001</v>
      </c>
      <c r="Y134">
        <v>2.8</v>
      </c>
    </row>
    <row r="135" spans="2:25">
      <c r="W135">
        <v>2.9209999999999998</v>
      </c>
      <c r="X135">
        <v>1.4</v>
      </c>
      <c r="Y135">
        <v>2.2400000000000002</v>
      </c>
    </row>
    <row r="136" spans="2:25">
      <c r="W136">
        <v>2.9350000000000001</v>
      </c>
      <c r="X136">
        <v>0.1</v>
      </c>
      <c r="Y136">
        <v>3.15</v>
      </c>
    </row>
    <row r="137" spans="2:25">
      <c r="W137">
        <v>3.0209999999999999</v>
      </c>
      <c r="X137">
        <v>0.9</v>
      </c>
      <c r="Y137">
        <v>3.55</v>
      </c>
    </row>
    <row r="138" spans="2:25">
      <c r="W138">
        <v>3.0630000000000002</v>
      </c>
      <c r="X138">
        <v>0.8</v>
      </c>
      <c r="Y138">
        <v>4</v>
      </c>
    </row>
    <row r="139" spans="2:25">
      <c r="W139">
        <v>3.2850000000000001</v>
      </c>
      <c r="X139">
        <v>1.25</v>
      </c>
      <c r="Y139">
        <v>2.8</v>
      </c>
    </row>
    <row r="140" spans="2:25">
      <c r="W140">
        <v>3.3130000000000002</v>
      </c>
      <c r="X140">
        <v>1.1200000000000001</v>
      </c>
      <c r="Y140">
        <v>3.15</v>
      </c>
    </row>
    <row r="141" spans="2:25">
      <c r="W141">
        <v>3.335</v>
      </c>
      <c r="X141">
        <v>0.1</v>
      </c>
      <c r="Y141">
        <v>3.55</v>
      </c>
    </row>
    <row r="142" spans="2:25">
      <c r="W142">
        <v>3.3690000000000002</v>
      </c>
      <c r="X142">
        <v>1.6</v>
      </c>
      <c r="Y142">
        <v>2.2400000000000002</v>
      </c>
    </row>
    <row r="143" spans="2:25">
      <c r="W143">
        <v>3.4260000000000002</v>
      </c>
      <c r="X143">
        <v>0.9</v>
      </c>
      <c r="Y143">
        <v>4</v>
      </c>
    </row>
    <row r="144" spans="2:25">
      <c r="W144">
        <v>3.7050000000000001</v>
      </c>
      <c r="X144">
        <v>1.4</v>
      </c>
      <c r="Y144">
        <v>2.8</v>
      </c>
    </row>
    <row r="145" spans="23:25">
      <c r="W145">
        <v>3.7229999999999999</v>
      </c>
      <c r="X145">
        <v>1.25</v>
      </c>
      <c r="Y145">
        <v>3.15</v>
      </c>
    </row>
    <row r="146" spans="23:25">
      <c r="W146">
        <v>3.7610000000000001</v>
      </c>
      <c r="X146">
        <v>1.1200000000000001</v>
      </c>
      <c r="Y146">
        <v>3.55</v>
      </c>
    </row>
    <row r="147" spans="23:25">
      <c r="W147">
        <v>3.7850000000000001</v>
      </c>
      <c r="X147">
        <v>0.1</v>
      </c>
      <c r="Y147">
        <v>4</v>
      </c>
    </row>
    <row r="148" spans="23:25">
      <c r="W148">
        <v>3.7850000000000001</v>
      </c>
      <c r="X148">
        <v>1.6</v>
      </c>
      <c r="Y148">
        <v>2.5</v>
      </c>
    </row>
    <row r="149" spans="23:25">
      <c r="W149">
        <v>3.863</v>
      </c>
      <c r="X149">
        <v>0.8</v>
      </c>
      <c r="Y149">
        <v>5</v>
      </c>
    </row>
    <row r="150" spans="23:25">
      <c r="W150">
        <v>3.8759999999999999</v>
      </c>
      <c r="X150">
        <v>0.9</v>
      </c>
      <c r="Y150">
        <v>4.5</v>
      </c>
    </row>
    <row r="151" spans="23:25">
      <c r="W151">
        <v>4.1369999999999996</v>
      </c>
      <c r="X151">
        <v>1.8</v>
      </c>
      <c r="Y151">
        <v>2.5</v>
      </c>
    </row>
    <row r="152" spans="23:25">
      <c r="W152">
        <v>4.1950000000000003</v>
      </c>
      <c r="X152">
        <v>1.4</v>
      </c>
      <c r="Y152">
        <v>3.15</v>
      </c>
    </row>
    <row r="153" spans="23:25">
      <c r="W153">
        <v>4.2229999999999999</v>
      </c>
      <c r="X153">
        <v>1.25</v>
      </c>
      <c r="Y153">
        <v>3.55</v>
      </c>
    </row>
    <row r="154" spans="23:25">
      <c r="W154">
        <v>4.2649999999999997</v>
      </c>
      <c r="X154">
        <v>1.1200000000000001</v>
      </c>
      <c r="Y154">
        <v>4</v>
      </c>
    </row>
    <row r="155" spans="23:25">
      <c r="W155">
        <v>4.2649999999999997</v>
      </c>
      <c r="X155">
        <v>1.6</v>
      </c>
      <c r="Y155">
        <v>2.8</v>
      </c>
    </row>
    <row r="156" spans="23:25">
      <c r="W156">
        <v>4.2850000000000001</v>
      </c>
      <c r="X156">
        <v>0.1</v>
      </c>
      <c r="Y156">
        <v>4.5</v>
      </c>
    </row>
    <row r="157" spans="23:25">
      <c r="W157">
        <v>4.3259999999999996</v>
      </c>
      <c r="X157">
        <v>0.9</v>
      </c>
      <c r="Y157">
        <v>5</v>
      </c>
    </row>
    <row r="158" spans="23:25">
      <c r="W158">
        <v>4.343</v>
      </c>
      <c r="X158">
        <v>0.8</v>
      </c>
      <c r="Y158">
        <v>5.6</v>
      </c>
    </row>
    <row r="159" spans="23:25">
      <c r="W159">
        <v>4.4630000000000001</v>
      </c>
      <c r="X159">
        <v>0.8</v>
      </c>
      <c r="Y159">
        <v>4.5</v>
      </c>
    </row>
    <row r="160" spans="23:25">
      <c r="W160">
        <v>4.6769999999999996</v>
      </c>
      <c r="X160">
        <v>1.8</v>
      </c>
      <c r="Y160">
        <v>2.8</v>
      </c>
    </row>
    <row r="161" spans="23:25">
      <c r="W161">
        <v>4.7549999999999999</v>
      </c>
      <c r="X161">
        <v>1.4</v>
      </c>
      <c r="Y161">
        <v>3.55</v>
      </c>
    </row>
    <row r="162" spans="23:25">
      <c r="W162">
        <v>4.7850000000000001</v>
      </c>
      <c r="X162">
        <v>0.1</v>
      </c>
      <c r="Y162">
        <v>5</v>
      </c>
    </row>
    <row r="163" spans="23:25">
      <c r="W163">
        <v>4.7850000000000001</v>
      </c>
      <c r="X163">
        <v>1.25</v>
      </c>
      <c r="Y163">
        <v>4</v>
      </c>
    </row>
    <row r="164" spans="23:25">
      <c r="W164">
        <v>4.8250000000000002</v>
      </c>
      <c r="X164">
        <v>1.1200000000000001</v>
      </c>
      <c r="Y164">
        <v>4.5</v>
      </c>
    </row>
    <row r="165" spans="23:25">
      <c r="W165">
        <v>4.8250000000000002</v>
      </c>
      <c r="X165">
        <v>1.6</v>
      </c>
      <c r="Y165">
        <v>3.15</v>
      </c>
    </row>
    <row r="166" spans="23:25">
      <c r="W166">
        <v>4.8659999999999997</v>
      </c>
      <c r="X166">
        <v>0.9</v>
      </c>
      <c r="Y166">
        <v>5.6</v>
      </c>
    </row>
    <row r="167" spans="23:25">
      <c r="W167">
        <v>4.9029999999999996</v>
      </c>
      <c r="X167">
        <v>0.8</v>
      </c>
      <c r="Y167">
        <v>6.3</v>
      </c>
    </row>
    <row r="168" spans="23:25">
      <c r="W168">
        <v>5.2370000000000001</v>
      </c>
      <c r="X168">
        <v>2</v>
      </c>
      <c r="Y168">
        <v>2.8</v>
      </c>
    </row>
    <row r="169" spans="23:25">
      <c r="W169">
        <v>5.3070000000000004</v>
      </c>
      <c r="X169">
        <v>1.8</v>
      </c>
      <c r="Y169">
        <v>3.15</v>
      </c>
    </row>
    <row r="170" spans="23:25">
      <c r="W170">
        <v>5.3849999999999998</v>
      </c>
      <c r="X170">
        <v>0.1</v>
      </c>
      <c r="Y170">
        <v>5.6</v>
      </c>
    </row>
    <row r="171" spans="23:25">
      <c r="W171">
        <v>5.3849999999999998</v>
      </c>
      <c r="X171">
        <v>1.1200000000000001</v>
      </c>
      <c r="Y171">
        <v>5</v>
      </c>
    </row>
    <row r="172" spans="23:25">
      <c r="W172">
        <v>5.3849999999999998</v>
      </c>
      <c r="X172">
        <v>1.4</v>
      </c>
      <c r="Y172">
        <v>4</v>
      </c>
    </row>
    <row r="173" spans="23:25">
      <c r="W173">
        <v>5.41</v>
      </c>
      <c r="X173">
        <v>1.25</v>
      </c>
      <c r="Y173">
        <v>4.5</v>
      </c>
    </row>
    <row r="174" spans="23:25">
      <c r="W174">
        <v>5.4649999999999999</v>
      </c>
      <c r="X174">
        <v>1.6</v>
      </c>
      <c r="Y174">
        <v>3.55</v>
      </c>
    </row>
    <row r="175" spans="23:25">
      <c r="W175">
        <v>5.4960000000000004</v>
      </c>
      <c r="X175">
        <v>0.9</v>
      </c>
      <c r="Y175">
        <v>6.3</v>
      </c>
    </row>
    <row r="176" spans="23:25">
      <c r="W176">
        <v>5.9370000000000003</v>
      </c>
      <c r="X176">
        <v>2</v>
      </c>
      <c r="Y176">
        <v>3.15</v>
      </c>
    </row>
    <row r="177" spans="23:25">
      <c r="W177">
        <v>6.0270000000000001</v>
      </c>
      <c r="X177">
        <v>1.8</v>
      </c>
      <c r="Y177">
        <v>3.55</v>
      </c>
    </row>
    <row r="178" spans="23:25">
      <c r="W178">
        <v>6.0350000000000001</v>
      </c>
      <c r="X178">
        <v>1.25</v>
      </c>
      <c r="Y178">
        <v>5</v>
      </c>
    </row>
    <row r="179" spans="23:25">
      <c r="W179">
        <v>6.0570000000000004</v>
      </c>
      <c r="X179">
        <v>1.1200000000000001</v>
      </c>
      <c r="Y179">
        <v>5.6</v>
      </c>
    </row>
    <row r="180" spans="23:25">
      <c r="W180">
        <v>6.085</v>
      </c>
      <c r="X180">
        <v>0.1</v>
      </c>
      <c r="Y180">
        <v>6.3</v>
      </c>
    </row>
    <row r="181" spans="23:25">
      <c r="W181">
        <v>6.085</v>
      </c>
      <c r="X181">
        <v>1.4</v>
      </c>
      <c r="Y181">
        <v>4.5</v>
      </c>
    </row>
    <row r="182" spans="23:25">
      <c r="W182">
        <v>6.1849999999999996</v>
      </c>
      <c r="X182">
        <v>1.6</v>
      </c>
      <c r="Y182">
        <v>4</v>
      </c>
    </row>
    <row r="183" spans="23:25">
      <c r="W183">
        <v>6.2160000000000002</v>
      </c>
      <c r="X183">
        <v>0.9</v>
      </c>
      <c r="Y183">
        <v>7.1</v>
      </c>
    </row>
    <row r="184" spans="23:25">
      <c r="W184">
        <v>6.6929999999999996</v>
      </c>
      <c r="X184">
        <v>2.2400000000000002</v>
      </c>
      <c r="Y184">
        <v>3.15</v>
      </c>
    </row>
    <row r="185" spans="23:25">
      <c r="W185">
        <v>6.7370000000000001</v>
      </c>
      <c r="X185">
        <v>2</v>
      </c>
      <c r="Y185">
        <v>3.55</v>
      </c>
    </row>
    <row r="186" spans="23:25">
      <c r="W186">
        <v>6.7850000000000001</v>
      </c>
      <c r="X186">
        <v>1.25</v>
      </c>
      <c r="Y186">
        <v>5.6</v>
      </c>
    </row>
    <row r="187" spans="23:25">
      <c r="W187">
        <v>6.7850000000000001</v>
      </c>
      <c r="X187">
        <v>1.4</v>
      </c>
      <c r="Y187">
        <v>5</v>
      </c>
    </row>
    <row r="188" spans="23:25">
      <c r="W188">
        <v>6.8369999999999997</v>
      </c>
      <c r="X188">
        <v>1.8</v>
      </c>
      <c r="Y188">
        <v>4</v>
      </c>
    </row>
    <row r="189" spans="23:25">
      <c r="W189">
        <v>6.8410000000000002</v>
      </c>
      <c r="X189">
        <v>1.1200000000000001</v>
      </c>
      <c r="Y189">
        <v>6.3</v>
      </c>
    </row>
    <row r="190" spans="23:25">
      <c r="W190">
        <v>6.8849999999999998</v>
      </c>
      <c r="X190">
        <v>0.1</v>
      </c>
      <c r="Y190">
        <v>7.1</v>
      </c>
    </row>
    <row r="191" spans="23:25">
      <c r="W191">
        <v>6.9850000000000003</v>
      </c>
      <c r="X191">
        <v>1.6</v>
      </c>
      <c r="Y191">
        <v>4.5</v>
      </c>
    </row>
    <row r="192" spans="23:25">
      <c r="W192">
        <v>7.5890000000000004</v>
      </c>
      <c r="X192">
        <v>2.2400000000000002</v>
      </c>
      <c r="Y192">
        <v>3.55</v>
      </c>
    </row>
    <row r="193" spans="23:25">
      <c r="W193">
        <v>7.625</v>
      </c>
      <c r="X193">
        <v>1.4</v>
      </c>
      <c r="Y193">
        <v>5.6</v>
      </c>
    </row>
    <row r="194" spans="23:25">
      <c r="W194">
        <v>7.6369999999999996</v>
      </c>
      <c r="X194">
        <v>2</v>
      </c>
      <c r="Y194">
        <v>4</v>
      </c>
    </row>
    <row r="195" spans="23:25">
      <c r="W195">
        <v>7.66</v>
      </c>
      <c r="X195">
        <v>1.25</v>
      </c>
      <c r="Y195">
        <v>6.3</v>
      </c>
    </row>
    <row r="196" spans="23:25">
      <c r="W196">
        <v>7.7370000000000001</v>
      </c>
      <c r="X196">
        <v>1.1200000000000001</v>
      </c>
      <c r="Y196">
        <v>7.1</v>
      </c>
    </row>
    <row r="197" spans="23:25">
      <c r="W197">
        <v>7.7370000000000001</v>
      </c>
      <c r="X197">
        <v>1.8</v>
      </c>
      <c r="Y197">
        <v>4.5</v>
      </c>
    </row>
    <row r="198" spans="23:25">
      <c r="W198">
        <v>7.7850000000000001</v>
      </c>
      <c r="X198">
        <v>0.1</v>
      </c>
      <c r="Y198">
        <v>8</v>
      </c>
    </row>
    <row r="199" spans="23:25">
      <c r="W199">
        <v>7.7850000000000001</v>
      </c>
      <c r="X199">
        <v>1.6</v>
      </c>
      <c r="Y199">
        <v>5</v>
      </c>
    </row>
    <row r="200" spans="23:25">
      <c r="W200">
        <v>8.3260000000000005</v>
      </c>
      <c r="X200">
        <v>2.5</v>
      </c>
      <c r="Y200">
        <v>3.55</v>
      </c>
    </row>
    <row r="201" spans="23:25">
      <c r="W201">
        <v>8.5969999999999995</v>
      </c>
      <c r="X201">
        <v>2.2400000000000002</v>
      </c>
      <c r="Y201">
        <v>4</v>
      </c>
    </row>
    <row r="202" spans="23:25">
      <c r="W202">
        <v>8.6</v>
      </c>
      <c r="X202">
        <v>1.25</v>
      </c>
      <c r="Y202">
        <v>7.1</v>
      </c>
    </row>
    <row r="203" spans="23:25">
      <c r="W203">
        <v>8.6050000000000004</v>
      </c>
      <c r="X203">
        <v>1.4</v>
      </c>
      <c r="Y203">
        <v>6.3</v>
      </c>
    </row>
    <row r="204" spans="23:25">
      <c r="W204">
        <v>8.6370000000000005</v>
      </c>
      <c r="X204">
        <v>1.8</v>
      </c>
      <c r="Y204">
        <v>5</v>
      </c>
    </row>
    <row r="205" spans="23:25">
      <c r="W205">
        <v>8.6370000000000005</v>
      </c>
      <c r="X205">
        <v>2</v>
      </c>
      <c r="Y205">
        <v>4.5</v>
      </c>
    </row>
    <row r="206" spans="23:25">
      <c r="W206">
        <v>8.7449999999999992</v>
      </c>
      <c r="X206">
        <v>1.1200000000000001</v>
      </c>
      <c r="Y206">
        <v>8</v>
      </c>
    </row>
    <row r="207" spans="23:25">
      <c r="W207">
        <v>8.7449999999999992</v>
      </c>
      <c r="X207">
        <v>1.6</v>
      </c>
      <c r="Y207">
        <v>5.6</v>
      </c>
    </row>
    <row r="208" spans="23:25">
      <c r="W208">
        <v>9.4510000000000005</v>
      </c>
      <c r="X208">
        <v>2.5</v>
      </c>
      <c r="Y208">
        <v>4</v>
      </c>
    </row>
    <row r="209" spans="23:25">
      <c r="W209">
        <v>9.6370000000000005</v>
      </c>
      <c r="X209">
        <v>2</v>
      </c>
      <c r="Y209">
        <v>5</v>
      </c>
    </row>
    <row r="210" spans="23:25">
      <c r="W210">
        <v>9.7170000000000005</v>
      </c>
      <c r="X210">
        <v>1.8</v>
      </c>
      <c r="Y210">
        <v>5.6</v>
      </c>
    </row>
    <row r="211" spans="23:25">
      <c r="W211">
        <v>9.7170000000000005</v>
      </c>
      <c r="X211">
        <v>2.2400000000000002</v>
      </c>
      <c r="Y211">
        <v>4.5</v>
      </c>
    </row>
    <row r="212" spans="23:25">
      <c r="W212">
        <v>9.7249999999999996</v>
      </c>
      <c r="X212">
        <v>1.4</v>
      </c>
      <c r="Y212">
        <v>7.1</v>
      </c>
    </row>
    <row r="213" spans="23:25">
      <c r="W213">
        <v>9.7850000000000001</v>
      </c>
      <c r="X213">
        <v>1.25</v>
      </c>
      <c r="Y213">
        <v>8</v>
      </c>
    </row>
    <row r="214" spans="23:25">
      <c r="W214">
        <v>9.8650000000000002</v>
      </c>
      <c r="X214">
        <v>1.1200000000000001</v>
      </c>
      <c r="Y214">
        <v>9</v>
      </c>
    </row>
    <row r="215" spans="23:25">
      <c r="W215">
        <v>9.8650000000000002</v>
      </c>
      <c r="X215">
        <v>1.6</v>
      </c>
      <c r="Y215">
        <v>6.3</v>
      </c>
    </row>
    <row r="216" spans="23:25">
      <c r="W216">
        <v>10.65</v>
      </c>
      <c r="X216">
        <v>2.8</v>
      </c>
      <c r="Y216">
        <v>4</v>
      </c>
    </row>
    <row r="217" spans="23:25">
      <c r="W217">
        <v>10.7</v>
      </c>
      <c r="X217">
        <v>2.5</v>
      </c>
      <c r="Y217">
        <v>4.5</v>
      </c>
    </row>
    <row r="218" spans="23:25">
      <c r="W218">
        <v>10.84</v>
      </c>
      <c r="X218">
        <v>2</v>
      </c>
      <c r="Y218">
        <v>5.6</v>
      </c>
    </row>
    <row r="219" spans="23:25">
      <c r="W219">
        <v>10.84</v>
      </c>
      <c r="X219">
        <v>2.2400000000000002</v>
      </c>
      <c r="Y219">
        <v>5</v>
      </c>
    </row>
    <row r="220" spans="23:25">
      <c r="W220">
        <v>10.98</v>
      </c>
      <c r="X220">
        <v>1.8</v>
      </c>
      <c r="Y220">
        <v>6.3</v>
      </c>
    </row>
    <row r="221" spans="23:25">
      <c r="W221">
        <v>10.99</v>
      </c>
      <c r="X221">
        <v>1.4</v>
      </c>
      <c r="Y221">
        <v>8</v>
      </c>
    </row>
    <row r="222" spans="23:25">
      <c r="W222">
        <v>11.04</v>
      </c>
      <c r="X222">
        <v>1.25</v>
      </c>
      <c r="Y222">
        <v>9</v>
      </c>
    </row>
    <row r="223" spans="23:25">
      <c r="W223">
        <v>11.15</v>
      </c>
      <c r="X223">
        <v>1.6</v>
      </c>
      <c r="Y223">
        <v>7.1</v>
      </c>
    </row>
    <row r="224" spans="23:25">
      <c r="W224">
        <v>11.95</v>
      </c>
      <c r="X224">
        <v>2.5</v>
      </c>
      <c r="Y224">
        <v>5</v>
      </c>
    </row>
    <row r="225" spans="23:25">
      <c r="W225">
        <v>12.05</v>
      </c>
      <c r="X225">
        <v>2.8</v>
      </c>
      <c r="Y225">
        <v>4.5</v>
      </c>
    </row>
    <row r="226" spans="23:25">
      <c r="W226">
        <v>12.18</v>
      </c>
      <c r="X226">
        <v>2.2400000000000002</v>
      </c>
      <c r="Y226">
        <v>5.6</v>
      </c>
    </row>
    <row r="227" spans="23:25">
      <c r="W227">
        <v>12.24</v>
      </c>
      <c r="X227">
        <v>2</v>
      </c>
      <c r="Y227">
        <v>6.3</v>
      </c>
    </row>
    <row r="228" spans="23:25">
      <c r="W228">
        <v>12.29</v>
      </c>
      <c r="X228">
        <v>1.25</v>
      </c>
      <c r="Y228">
        <v>10</v>
      </c>
    </row>
    <row r="229" spans="23:25">
      <c r="W229">
        <v>12.39</v>
      </c>
      <c r="X229">
        <v>1.4</v>
      </c>
      <c r="Y229">
        <v>9</v>
      </c>
    </row>
    <row r="230" spans="23:25">
      <c r="W230">
        <v>12.42</v>
      </c>
      <c r="X230">
        <v>1.8</v>
      </c>
      <c r="Y230">
        <v>7.1</v>
      </c>
    </row>
    <row r="231" spans="23:25">
      <c r="W231">
        <v>12.59</v>
      </c>
      <c r="X231">
        <v>1.6</v>
      </c>
      <c r="Y231">
        <v>8</v>
      </c>
    </row>
    <row r="232" spans="23:25">
      <c r="W232">
        <v>13.45</v>
      </c>
      <c r="X232">
        <v>2.5</v>
      </c>
      <c r="Y232">
        <v>5.6</v>
      </c>
    </row>
    <row r="233" spans="23:25">
      <c r="W233">
        <v>13.45</v>
      </c>
      <c r="X233">
        <v>2.8</v>
      </c>
      <c r="Y233">
        <v>5</v>
      </c>
    </row>
    <row r="234" spans="23:25">
      <c r="W234">
        <v>13.63</v>
      </c>
      <c r="X234">
        <v>3.25</v>
      </c>
      <c r="Y234">
        <v>4.5</v>
      </c>
    </row>
    <row r="235" spans="23:25">
      <c r="W235">
        <v>13.75</v>
      </c>
      <c r="X235">
        <v>2.2400000000000002</v>
      </c>
      <c r="Y235">
        <v>6.3</v>
      </c>
    </row>
    <row r="236" spans="23:25">
      <c r="W236">
        <v>13.79</v>
      </c>
      <c r="X236">
        <v>1.4</v>
      </c>
      <c r="Y236">
        <v>10</v>
      </c>
    </row>
    <row r="237" spans="23:25">
      <c r="W237">
        <v>13.84</v>
      </c>
      <c r="X237">
        <v>2</v>
      </c>
      <c r="Y237">
        <v>7.1</v>
      </c>
    </row>
    <row r="238" spans="23:25">
      <c r="W238">
        <v>14.04</v>
      </c>
      <c r="X238">
        <v>1.8</v>
      </c>
      <c r="Y238">
        <v>8</v>
      </c>
    </row>
    <row r="239" spans="23:25">
      <c r="W239">
        <v>14.19</v>
      </c>
      <c r="X239">
        <v>1.6</v>
      </c>
      <c r="Y239">
        <v>9</v>
      </c>
    </row>
    <row r="240" spans="23:25">
      <c r="W240">
        <v>15.13</v>
      </c>
      <c r="X240">
        <v>2.8</v>
      </c>
      <c r="Y240">
        <v>5.6</v>
      </c>
    </row>
    <row r="241" spans="23:25">
      <c r="W241">
        <v>15.2</v>
      </c>
      <c r="X241">
        <v>2.5</v>
      </c>
      <c r="Y241">
        <v>6.3</v>
      </c>
    </row>
    <row r="242" spans="23:25">
      <c r="W242">
        <v>15.2</v>
      </c>
      <c r="X242">
        <v>3.25</v>
      </c>
      <c r="Y242">
        <v>5</v>
      </c>
    </row>
    <row r="243" spans="23:25">
      <c r="W243">
        <v>15.47</v>
      </c>
      <c r="X243">
        <v>1.4</v>
      </c>
      <c r="Y243">
        <v>11.2</v>
      </c>
    </row>
    <row r="244" spans="23:25">
      <c r="W244">
        <v>15.54</v>
      </c>
      <c r="X244">
        <v>2.2400000000000002</v>
      </c>
      <c r="Y244">
        <v>7.1</v>
      </c>
    </row>
    <row r="245" spans="23:25">
      <c r="W245">
        <v>15.64</v>
      </c>
      <c r="X245">
        <v>2</v>
      </c>
      <c r="Y245">
        <v>8</v>
      </c>
    </row>
    <row r="246" spans="23:25">
      <c r="W246">
        <v>15.79</v>
      </c>
      <c r="X246">
        <v>1.6</v>
      </c>
      <c r="Y246">
        <v>10</v>
      </c>
    </row>
    <row r="247" spans="23:25">
      <c r="W247">
        <v>15.84</v>
      </c>
      <c r="X247">
        <v>1.8</v>
      </c>
      <c r="Y247">
        <v>9</v>
      </c>
    </row>
    <row r="248" spans="23:25">
      <c r="W248">
        <v>17.09</v>
      </c>
      <c r="X248">
        <v>2.8</v>
      </c>
      <c r="Y248">
        <v>6.3</v>
      </c>
    </row>
    <row r="249" spans="23:25">
      <c r="W249">
        <v>17.09</v>
      </c>
      <c r="X249">
        <v>3.25</v>
      </c>
      <c r="Y249">
        <v>5.6</v>
      </c>
    </row>
    <row r="250" spans="23:25">
      <c r="W250">
        <v>17.2</v>
      </c>
      <c r="X250">
        <v>2.5</v>
      </c>
      <c r="Y250">
        <v>7.1</v>
      </c>
    </row>
    <row r="251" spans="23:25">
      <c r="W251">
        <v>17.2</v>
      </c>
      <c r="X251">
        <v>3.55</v>
      </c>
      <c r="Y251">
        <v>5</v>
      </c>
    </row>
    <row r="252" spans="23:25">
      <c r="W252">
        <v>17.559999999999999</v>
      </c>
      <c r="X252">
        <v>2.2400000000000002</v>
      </c>
      <c r="Y252">
        <v>8</v>
      </c>
    </row>
    <row r="253" spans="23:25">
      <c r="W253">
        <v>17.64</v>
      </c>
      <c r="X253">
        <v>2</v>
      </c>
      <c r="Y253">
        <v>9</v>
      </c>
    </row>
    <row r="254" spans="23:25">
      <c r="W254">
        <v>17.654</v>
      </c>
      <c r="X254">
        <v>1.8</v>
      </c>
      <c r="Y254">
        <v>10</v>
      </c>
    </row>
    <row r="255" spans="23:25">
      <c r="W255">
        <v>17.71</v>
      </c>
      <c r="X255">
        <v>1.6</v>
      </c>
      <c r="Y255">
        <v>11.2</v>
      </c>
    </row>
    <row r="256" spans="23:25">
      <c r="W256">
        <v>19.3</v>
      </c>
      <c r="X256">
        <v>3.25</v>
      </c>
      <c r="Y256">
        <v>6.3</v>
      </c>
    </row>
    <row r="257" spans="23:25">
      <c r="W257">
        <v>19.329999999999998</v>
      </c>
      <c r="X257">
        <v>2.8</v>
      </c>
      <c r="Y257">
        <v>7.1</v>
      </c>
    </row>
    <row r="258" spans="23:25">
      <c r="W258">
        <v>19.329999999999998</v>
      </c>
      <c r="X258">
        <v>3.55</v>
      </c>
      <c r="Y258">
        <v>5.6</v>
      </c>
    </row>
    <row r="259" spans="23:25">
      <c r="W259">
        <v>19.45</v>
      </c>
      <c r="X259">
        <v>2.5</v>
      </c>
      <c r="Y259">
        <v>8</v>
      </c>
    </row>
    <row r="260" spans="23:25">
      <c r="W260">
        <v>19.64</v>
      </c>
      <c r="X260">
        <v>2</v>
      </c>
      <c r="Y260">
        <v>10</v>
      </c>
    </row>
    <row r="261" spans="23:25">
      <c r="W261">
        <v>19.79</v>
      </c>
      <c r="X261">
        <v>1.6</v>
      </c>
      <c r="Y261">
        <v>12.5</v>
      </c>
    </row>
    <row r="262" spans="23:25">
      <c r="W262">
        <v>19.8</v>
      </c>
      <c r="X262">
        <v>1.8</v>
      </c>
      <c r="Y262">
        <v>11.2</v>
      </c>
    </row>
    <row r="263" spans="23:25">
      <c r="W263">
        <v>19.8</v>
      </c>
      <c r="X263">
        <v>2.2400000000000002</v>
      </c>
      <c r="Y263">
        <v>9</v>
      </c>
    </row>
    <row r="264" spans="23:25">
      <c r="W264">
        <v>21.54</v>
      </c>
      <c r="X264">
        <v>4</v>
      </c>
      <c r="Y264">
        <v>5.6</v>
      </c>
    </row>
    <row r="265" spans="23:25">
      <c r="W265">
        <v>21.82</v>
      </c>
      <c r="X265">
        <v>3.25</v>
      </c>
      <c r="Y265">
        <v>7.1</v>
      </c>
    </row>
    <row r="266" spans="23:25">
      <c r="W266">
        <v>21.82</v>
      </c>
      <c r="X266">
        <v>3.55</v>
      </c>
      <c r="Y266">
        <v>6.3</v>
      </c>
    </row>
    <row r="267" spans="23:25">
      <c r="W267">
        <v>21.85</v>
      </c>
      <c r="X267">
        <v>2.8</v>
      </c>
      <c r="Y267">
        <v>8</v>
      </c>
    </row>
    <row r="268" spans="23:25">
      <c r="W268">
        <v>21.95</v>
      </c>
      <c r="X268">
        <v>2.5</v>
      </c>
      <c r="Y268">
        <v>9</v>
      </c>
    </row>
    <row r="269" spans="23:25">
      <c r="W269">
        <v>22.04</v>
      </c>
      <c r="X269">
        <v>2</v>
      </c>
      <c r="Y269">
        <v>11.2</v>
      </c>
    </row>
    <row r="270" spans="23:25">
      <c r="W270">
        <v>22.04</v>
      </c>
      <c r="X270">
        <v>2.2400000000000002</v>
      </c>
      <c r="Y270">
        <v>10</v>
      </c>
    </row>
    <row r="271" spans="23:25">
      <c r="W271">
        <v>22.14</v>
      </c>
      <c r="X271">
        <v>1.8</v>
      </c>
      <c r="Y271">
        <v>12.5</v>
      </c>
    </row>
    <row r="272" spans="23:25">
      <c r="W272">
        <v>24.34</v>
      </c>
      <c r="X272">
        <v>4</v>
      </c>
      <c r="Y272">
        <v>6.3</v>
      </c>
    </row>
    <row r="273" spans="23:25">
      <c r="W273">
        <v>24.45</v>
      </c>
      <c r="X273">
        <v>2.5</v>
      </c>
      <c r="Y273">
        <v>10</v>
      </c>
    </row>
    <row r="274" spans="23:25">
      <c r="W274">
        <v>24.64</v>
      </c>
      <c r="X274">
        <v>2</v>
      </c>
      <c r="Y274">
        <v>12.5</v>
      </c>
    </row>
    <row r="275" spans="23:25">
      <c r="W275">
        <v>24.65</v>
      </c>
      <c r="X275">
        <v>2.8</v>
      </c>
      <c r="Y275">
        <v>9</v>
      </c>
    </row>
    <row r="276" spans="23:25">
      <c r="W276">
        <v>24.65</v>
      </c>
      <c r="X276">
        <v>3.25</v>
      </c>
      <c r="Y276">
        <v>8</v>
      </c>
    </row>
    <row r="277" spans="23:25">
      <c r="W277">
        <v>24.66</v>
      </c>
      <c r="X277">
        <v>3.55</v>
      </c>
      <c r="Y277">
        <v>7.1</v>
      </c>
    </row>
    <row r="278" spans="23:25">
      <c r="W278">
        <v>24.73</v>
      </c>
      <c r="X278">
        <v>2.2400000000000002</v>
      </c>
      <c r="Y278">
        <v>11.2</v>
      </c>
    </row>
    <row r="279" spans="23:25">
      <c r="W279">
        <v>24.84</v>
      </c>
      <c r="X279">
        <v>1.8</v>
      </c>
      <c r="Y279">
        <v>14</v>
      </c>
    </row>
    <row r="280" spans="23:25">
      <c r="W280">
        <v>27.45</v>
      </c>
      <c r="X280">
        <v>2.5</v>
      </c>
      <c r="Y280">
        <v>11.2</v>
      </c>
    </row>
    <row r="281" spans="23:25">
      <c r="W281">
        <v>27.45</v>
      </c>
      <c r="X281">
        <v>2.8</v>
      </c>
      <c r="Y281">
        <v>10</v>
      </c>
    </row>
    <row r="282" spans="23:25">
      <c r="W282">
        <v>27.49</v>
      </c>
      <c r="X282">
        <v>4.5</v>
      </c>
      <c r="Y282">
        <v>6.3</v>
      </c>
    </row>
    <row r="283" spans="23:25">
      <c r="W283">
        <v>27.54</v>
      </c>
      <c r="X283">
        <v>4</v>
      </c>
      <c r="Y283">
        <v>7.1</v>
      </c>
    </row>
    <row r="284" spans="23:25">
      <c r="W284">
        <v>27.64</v>
      </c>
      <c r="X284">
        <v>2</v>
      </c>
      <c r="Y284">
        <v>14</v>
      </c>
    </row>
    <row r="285" spans="23:25">
      <c r="W285">
        <v>27.64</v>
      </c>
      <c r="X285">
        <v>2.2400000000000002</v>
      </c>
      <c r="Y285">
        <v>12.5</v>
      </c>
    </row>
    <row r="286" spans="23:25">
      <c r="W286">
        <v>27.8</v>
      </c>
      <c r="X286">
        <v>3.25</v>
      </c>
      <c r="Y286">
        <v>9</v>
      </c>
    </row>
    <row r="287" spans="23:25">
      <c r="W287">
        <v>27.85</v>
      </c>
      <c r="X287">
        <v>3.55</v>
      </c>
      <c r="Y287">
        <v>8</v>
      </c>
    </row>
    <row r="288" spans="23:25">
      <c r="W288">
        <v>30.7</v>
      </c>
      <c r="X288">
        <v>2.5</v>
      </c>
      <c r="Y288">
        <v>12.5</v>
      </c>
    </row>
    <row r="289" spans="23:25">
      <c r="W289">
        <v>30.81</v>
      </c>
      <c r="X289">
        <v>2.8</v>
      </c>
      <c r="Y289">
        <v>11.2</v>
      </c>
    </row>
    <row r="290" spans="23:25">
      <c r="W290">
        <v>30.95</v>
      </c>
      <c r="X290">
        <v>3.25</v>
      </c>
      <c r="Y290">
        <v>10</v>
      </c>
    </row>
    <row r="291" spans="23:25">
      <c r="W291">
        <v>31</v>
      </c>
      <c r="X291">
        <v>2.2400000000000002</v>
      </c>
      <c r="Y291">
        <v>14</v>
      </c>
    </row>
    <row r="292" spans="23:25">
      <c r="W292">
        <v>31.09</v>
      </c>
      <c r="X292">
        <v>4.5</v>
      </c>
      <c r="Y292">
        <v>7.1</v>
      </c>
    </row>
    <row r="293" spans="23:25">
      <c r="W293">
        <v>31.14</v>
      </c>
      <c r="X293">
        <v>4</v>
      </c>
      <c r="Y293">
        <v>8</v>
      </c>
    </row>
    <row r="294" spans="23:25">
      <c r="W294">
        <v>31.4</v>
      </c>
      <c r="X294">
        <v>3.55</v>
      </c>
      <c r="Y294">
        <v>9</v>
      </c>
    </row>
    <row r="295" spans="23:25">
      <c r="W295">
        <v>31.64</v>
      </c>
      <c r="X295">
        <v>2</v>
      </c>
      <c r="Y295">
        <v>16</v>
      </c>
    </row>
    <row r="296" spans="23:25">
      <c r="W296">
        <v>34.450000000000003</v>
      </c>
      <c r="X296">
        <v>2.5</v>
      </c>
      <c r="Y296">
        <v>14</v>
      </c>
    </row>
    <row r="297" spans="23:25">
      <c r="W297">
        <v>34.450000000000003</v>
      </c>
      <c r="X297">
        <v>2.8</v>
      </c>
      <c r="Y297">
        <v>12.5</v>
      </c>
    </row>
    <row r="298" spans="23:25">
      <c r="W298">
        <v>34.64</v>
      </c>
      <c r="X298">
        <v>5</v>
      </c>
      <c r="Y298">
        <v>7.1</v>
      </c>
    </row>
    <row r="299" spans="23:25">
      <c r="W299">
        <v>34.729999999999997</v>
      </c>
      <c r="X299">
        <v>3.25</v>
      </c>
      <c r="Y299">
        <v>11.2</v>
      </c>
    </row>
    <row r="300" spans="23:25">
      <c r="W300">
        <v>34.950000000000003</v>
      </c>
      <c r="X300">
        <v>3.55</v>
      </c>
      <c r="Y300">
        <v>10</v>
      </c>
    </row>
    <row r="301" spans="23:25">
      <c r="W301">
        <v>35.14</v>
      </c>
      <c r="X301">
        <v>4</v>
      </c>
      <c r="Y301">
        <v>9</v>
      </c>
    </row>
    <row r="302" spans="23:25">
      <c r="W302">
        <v>35.14</v>
      </c>
      <c r="X302">
        <v>4.5</v>
      </c>
      <c r="Y302">
        <v>8</v>
      </c>
    </row>
    <row r="303" spans="23:25">
      <c r="W303">
        <v>35.479999999999997</v>
      </c>
      <c r="X303">
        <v>2.2400000000000002</v>
      </c>
      <c r="Y303">
        <v>16</v>
      </c>
    </row>
    <row r="304" spans="23:25">
      <c r="W304">
        <v>38.65</v>
      </c>
      <c r="X304">
        <v>2.8</v>
      </c>
      <c r="Y304">
        <v>14</v>
      </c>
    </row>
    <row r="305" spans="23:25">
      <c r="W305">
        <v>38.83</v>
      </c>
      <c r="X305">
        <v>3.25</v>
      </c>
      <c r="Y305">
        <v>12.5</v>
      </c>
    </row>
    <row r="306" spans="23:25">
      <c r="W306">
        <v>39.14</v>
      </c>
      <c r="X306">
        <v>4</v>
      </c>
      <c r="Y306">
        <v>10</v>
      </c>
    </row>
    <row r="307" spans="23:25">
      <c r="W307">
        <v>39.14</v>
      </c>
      <c r="X307">
        <v>5</v>
      </c>
      <c r="Y307">
        <v>8</v>
      </c>
    </row>
    <row r="308" spans="23:25">
      <c r="W308">
        <v>39.21</v>
      </c>
      <c r="X308">
        <v>3.55</v>
      </c>
      <c r="Y308">
        <v>11.2</v>
      </c>
    </row>
    <row r="309" spans="23:25">
      <c r="W309">
        <v>39.450000000000003</v>
      </c>
      <c r="X309">
        <v>2.5</v>
      </c>
      <c r="Y309">
        <v>16</v>
      </c>
    </row>
    <row r="310" spans="23:25">
      <c r="W310">
        <v>39.64</v>
      </c>
      <c r="X310">
        <v>4.5</v>
      </c>
      <c r="Y310">
        <v>9</v>
      </c>
    </row>
    <row r="311" spans="23:25">
      <c r="W311">
        <v>43.55</v>
      </c>
      <c r="X311">
        <v>3.25</v>
      </c>
      <c r="Y311">
        <v>14</v>
      </c>
    </row>
    <row r="312" spans="23:25">
      <c r="W312">
        <v>43.83</v>
      </c>
      <c r="X312">
        <v>3.55</v>
      </c>
      <c r="Y312">
        <v>12.5</v>
      </c>
    </row>
    <row r="313" spans="23:25">
      <c r="W313">
        <v>43.94</v>
      </c>
      <c r="X313">
        <v>4</v>
      </c>
      <c r="Y313">
        <v>11.2</v>
      </c>
    </row>
    <row r="314" spans="23:25">
      <c r="W314">
        <v>43.94</v>
      </c>
      <c r="X314">
        <v>5.6</v>
      </c>
      <c r="Y314">
        <v>8</v>
      </c>
    </row>
    <row r="315" spans="23:25">
      <c r="W315">
        <v>44.14</v>
      </c>
      <c r="X315">
        <v>4.5</v>
      </c>
      <c r="Y315">
        <v>10</v>
      </c>
    </row>
    <row r="316" spans="23:25">
      <c r="W316">
        <v>44.14</v>
      </c>
      <c r="X316">
        <v>5</v>
      </c>
      <c r="Y316">
        <v>9</v>
      </c>
    </row>
    <row r="317" spans="23:25">
      <c r="W317">
        <v>44.25</v>
      </c>
      <c r="X317">
        <v>2.8</v>
      </c>
      <c r="Y317">
        <v>16</v>
      </c>
    </row>
    <row r="318" spans="23:25">
      <c r="W318">
        <v>49.14</v>
      </c>
      <c r="X318">
        <v>4</v>
      </c>
      <c r="Y318">
        <v>12.5</v>
      </c>
    </row>
    <row r="319" spans="23:25">
      <c r="W319">
        <v>49.14</v>
      </c>
      <c r="X319">
        <v>5</v>
      </c>
      <c r="Y319">
        <v>10</v>
      </c>
    </row>
    <row r="320" spans="23:25">
      <c r="W320">
        <v>49.15</v>
      </c>
      <c r="X320">
        <v>3.55</v>
      </c>
      <c r="Y320">
        <v>14</v>
      </c>
    </row>
    <row r="321" spans="23:25">
      <c r="W321">
        <v>49.54</v>
      </c>
      <c r="X321">
        <v>4.5</v>
      </c>
      <c r="Y321">
        <v>11.2</v>
      </c>
    </row>
    <row r="322" spans="23:25">
      <c r="W322">
        <v>49.54</v>
      </c>
      <c r="X322">
        <v>5.6</v>
      </c>
      <c r="Y322">
        <v>9</v>
      </c>
    </row>
    <row r="323" spans="23:25">
      <c r="W323">
        <v>49.85</v>
      </c>
      <c r="X323">
        <v>3.25</v>
      </c>
      <c r="Y323">
        <v>16</v>
      </c>
    </row>
    <row r="324" spans="23:25">
      <c r="W324">
        <v>55.14</v>
      </c>
      <c r="X324">
        <v>4</v>
      </c>
      <c r="Y324">
        <v>14</v>
      </c>
    </row>
    <row r="325" spans="23:25">
      <c r="W325">
        <v>55.14</v>
      </c>
      <c r="X325">
        <v>5</v>
      </c>
      <c r="Y325">
        <v>11.2</v>
      </c>
    </row>
    <row r="326" spans="23:25">
      <c r="W326">
        <v>55.14</v>
      </c>
      <c r="X326">
        <v>5.6</v>
      </c>
      <c r="Y326">
        <v>10</v>
      </c>
    </row>
    <row r="327" spans="23:25">
      <c r="W327">
        <v>55.39</v>
      </c>
      <c r="X327">
        <v>4.5</v>
      </c>
      <c r="Y327">
        <v>12.5</v>
      </c>
    </row>
    <row r="328" spans="23:25">
      <c r="W328">
        <v>56.25</v>
      </c>
      <c r="X328">
        <v>3.55</v>
      </c>
      <c r="Y328">
        <v>16</v>
      </c>
    </row>
    <row r="329" spans="23:25">
      <c r="W329">
        <v>61.64</v>
      </c>
      <c r="X329">
        <v>5</v>
      </c>
      <c r="Y329">
        <v>12.5</v>
      </c>
    </row>
    <row r="330" spans="23:25">
      <c r="W330">
        <v>61.86</v>
      </c>
      <c r="X330">
        <v>5.6</v>
      </c>
      <c r="Y330">
        <v>11.2</v>
      </c>
    </row>
    <row r="331" spans="23:25">
      <c r="W331">
        <v>62.14</v>
      </c>
      <c r="X331">
        <v>4.5</v>
      </c>
      <c r="Y331">
        <v>14</v>
      </c>
    </row>
    <row r="332" spans="23:25">
      <c r="W332">
        <v>63.14</v>
      </c>
      <c r="X332">
        <v>4</v>
      </c>
      <c r="Y332">
        <v>16</v>
      </c>
    </row>
    <row r="333" spans="23:25">
      <c r="W333">
        <v>69.14</v>
      </c>
      <c r="X333">
        <v>5</v>
      </c>
      <c r="Y333">
        <v>14</v>
      </c>
    </row>
    <row r="334" spans="23:25">
      <c r="W334">
        <v>69.14</v>
      </c>
      <c r="X334">
        <v>5.6</v>
      </c>
      <c r="Y334">
        <v>12.5</v>
      </c>
    </row>
    <row r="335" spans="23:25">
      <c r="W335">
        <v>71.14</v>
      </c>
      <c r="X335">
        <v>4.5</v>
      </c>
      <c r="Y335">
        <v>16</v>
      </c>
    </row>
    <row r="336" spans="23:25">
      <c r="W336">
        <v>74.14</v>
      </c>
      <c r="X336">
        <v>5</v>
      </c>
      <c r="Y336">
        <v>16</v>
      </c>
    </row>
    <row r="337" spans="1:25">
      <c r="W337">
        <v>77.540000000000006</v>
      </c>
      <c r="X337">
        <v>5.6</v>
      </c>
      <c r="Y337">
        <v>14</v>
      </c>
    </row>
    <row r="338" spans="1:25">
      <c r="W338">
        <v>78.739999999999995</v>
      </c>
      <c r="X338">
        <v>5.6</v>
      </c>
      <c r="Y338">
        <v>16</v>
      </c>
    </row>
    <row r="340" spans="1:25">
      <c r="A340" s="78"/>
      <c r="B340" s="78"/>
      <c r="C340" s="78"/>
      <c r="D340" s="78"/>
      <c r="E340" s="78"/>
      <c r="F340" s="78"/>
      <c r="G340" s="78"/>
      <c r="I340" s="78"/>
      <c r="J340" s="78"/>
      <c r="K340" s="78"/>
      <c r="L340" s="78"/>
      <c r="M340" s="78"/>
      <c r="N340" s="78"/>
      <c r="O340" s="78"/>
      <c r="Q340" s="78"/>
      <c r="R340" s="78"/>
      <c r="S340" s="78"/>
      <c r="T340" s="78"/>
      <c r="U340" s="78"/>
      <c r="V340" s="78"/>
      <c r="W340" s="78"/>
    </row>
    <row r="341" spans="1:25">
      <c r="B341" s="7" t="s">
        <v>474</v>
      </c>
    </row>
    <row r="342" spans="1:25">
      <c r="C342" t="s">
        <v>110</v>
      </c>
      <c r="D342" t="s">
        <v>475</v>
      </c>
      <c r="E342" t="s">
        <v>79</v>
      </c>
      <c r="F342" t="s">
        <v>167</v>
      </c>
    </row>
    <row r="343" spans="1:25">
      <c r="B343" t="s">
        <v>476</v>
      </c>
      <c r="C343" t="s">
        <v>477</v>
      </c>
      <c r="D343" t="s">
        <v>477</v>
      </c>
      <c r="E343" t="s">
        <v>477</v>
      </c>
      <c r="F343" t="s">
        <v>477</v>
      </c>
    </row>
    <row r="344" spans="1:25">
      <c r="B344" t="s">
        <v>478</v>
      </c>
      <c r="C344" t="s">
        <v>479</v>
      </c>
      <c r="D344" t="s">
        <v>479</v>
      </c>
      <c r="E344" t="s">
        <v>479</v>
      </c>
      <c r="F344" t="s">
        <v>479</v>
      </c>
    </row>
    <row r="345" spans="1:25">
      <c r="B345">
        <v>1.3</v>
      </c>
      <c r="C345">
        <v>0.28570000000000001</v>
      </c>
      <c r="D345">
        <v>0.57140000000000002</v>
      </c>
      <c r="E345">
        <v>1.4285000000000001</v>
      </c>
      <c r="F345">
        <v>1.1428</v>
      </c>
    </row>
    <row r="346" spans="1:25">
      <c r="B346">
        <v>1.4</v>
      </c>
      <c r="C346">
        <v>0.57140000000000002</v>
      </c>
      <c r="D346">
        <v>1.1428</v>
      </c>
      <c r="E346">
        <v>2.1427499999999999</v>
      </c>
      <c r="F346">
        <v>1.28565</v>
      </c>
    </row>
    <row r="347" spans="1:25">
      <c r="B347">
        <v>1.5</v>
      </c>
      <c r="C347">
        <v>0.85709999999999997</v>
      </c>
      <c r="D347">
        <v>2.1427499999999999</v>
      </c>
      <c r="E347">
        <v>3.4283999999999999</v>
      </c>
      <c r="F347">
        <v>1.7141999999999999</v>
      </c>
    </row>
    <row r="348" spans="1:25">
      <c r="B348">
        <v>1.6</v>
      </c>
      <c r="C348">
        <v>1.1428</v>
      </c>
      <c r="D348">
        <v>3.57125</v>
      </c>
      <c r="E348">
        <v>5.9996999999999998</v>
      </c>
      <c r="F348">
        <v>2.8570000000000002</v>
      </c>
    </row>
    <row r="349" spans="1:25">
      <c r="B349">
        <v>1.7</v>
      </c>
      <c r="C349">
        <v>1.57135</v>
      </c>
      <c r="D349">
        <v>5.9996999999999998</v>
      </c>
      <c r="E349">
        <v>12.8565</v>
      </c>
      <c r="F349">
        <v>7.1425000000000001</v>
      </c>
    </row>
    <row r="350" spans="1:25">
      <c r="B350">
        <v>1.8</v>
      </c>
      <c r="C350">
        <v>2.2856000000000001</v>
      </c>
      <c r="D350">
        <v>14.285</v>
      </c>
      <c r="E350">
        <v>22.141749999999998</v>
      </c>
      <c r="F350">
        <v>14.285</v>
      </c>
    </row>
    <row r="351" spans="1:25">
      <c r="B351">
        <v>1.9</v>
      </c>
      <c r="C351">
        <v>4.2854999999999999</v>
      </c>
    </row>
    <row r="352" spans="1:25">
      <c r="B352">
        <v>2</v>
      </c>
      <c r="C352">
        <v>19.998999999999999</v>
      </c>
    </row>
    <row r="354" spans="1:7">
      <c r="C354" t="s">
        <v>480</v>
      </c>
      <c r="D354" t="s">
        <v>168</v>
      </c>
      <c r="E354" t="s">
        <v>481</v>
      </c>
      <c r="F354" t="s">
        <v>482</v>
      </c>
    </row>
    <row r="355" spans="1:7">
      <c r="B355" t="s">
        <v>476</v>
      </c>
      <c r="C355" t="s">
        <v>477</v>
      </c>
      <c r="D355" t="s">
        <v>477</v>
      </c>
      <c r="E355" t="s">
        <v>477</v>
      </c>
      <c r="F355" t="s">
        <v>477</v>
      </c>
    </row>
    <row r="356" spans="1:7">
      <c r="B356" t="s">
        <v>478</v>
      </c>
      <c r="C356" t="s">
        <v>479</v>
      </c>
      <c r="D356" t="s">
        <v>479</v>
      </c>
      <c r="E356" t="s">
        <v>479</v>
      </c>
      <c r="F356" t="s">
        <v>479</v>
      </c>
    </row>
    <row r="357" spans="1:7">
      <c r="B357">
        <v>0.7</v>
      </c>
      <c r="D357">
        <v>0.28570000000000001</v>
      </c>
      <c r="E357">
        <v>2.5712999999999999</v>
      </c>
      <c r="F357">
        <v>1.5522</v>
      </c>
    </row>
    <row r="358" spans="1:7">
      <c r="B358">
        <v>0.8</v>
      </c>
      <c r="D358">
        <v>0.85709999999999997</v>
      </c>
      <c r="E358">
        <v>2.2856000000000001</v>
      </c>
      <c r="F358">
        <v>2.9998499999999999</v>
      </c>
    </row>
    <row r="359" spans="1:7">
      <c r="B359">
        <v>0.9</v>
      </c>
      <c r="C359">
        <v>0.85709999999999997</v>
      </c>
      <c r="D359">
        <v>1.4285000000000001</v>
      </c>
      <c r="E359">
        <v>3.7141000000000002</v>
      </c>
      <c r="F359">
        <v>3.4283999999999999</v>
      </c>
    </row>
    <row r="360" spans="1:7">
      <c r="B360">
        <v>1</v>
      </c>
      <c r="C360">
        <v>1.4285000000000001</v>
      </c>
      <c r="D360">
        <v>2.2856000000000001</v>
      </c>
      <c r="E360">
        <v>3.9998</v>
      </c>
      <c r="F360">
        <v>4.5712000000000002</v>
      </c>
    </row>
    <row r="361" spans="1:7">
      <c r="B361">
        <v>1.3</v>
      </c>
      <c r="C361">
        <v>4.8569000000000004</v>
      </c>
      <c r="D361">
        <v>7.9996</v>
      </c>
      <c r="E361">
        <v>14.285</v>
      </c>
      <c r="F361">
        <v>10.713749999999999</v>
      </c>
    </row>
    <row r="362" spans="1:7">
      <c r="B362">
        <v>1.4</v>
      </c>
      <c r="C362">
        <v>6.5711000000000004</v>
      </c>
      <c r="D362">
        <v>12.8565</v>
      </c>
      <c r="E362">
        <v>21.427499999999998</v>
      </c>
      <c r="F362">
        <v>14.285</v>
      </c>
    </row>
    <row r="363" spans="1:7">
      <c r="B363">
        <v>1.5</v>
      </c>
      <c r="C363">
        <v>8.5709999999999997</v>
      </c>
      <c r="D363">
        <v>22.856000000000002</v>
      </c>
      <c r="F363">
        <v>19.998999999999999</v>
      </c>
    </row>
    <row r="364" spans="1:7">
      <c r="B364">
        <v>1.6</v>
      </c>
      <c r="C364">
        <v>11.428000000000001</v>
      </c>
      <c r="F364">
        <v>25.713000000000001</v>
      </c>
    </row>
    <row r="366" spans="1:7">
      <c r="A366" s="78"/>
      <c r="B366" s="78"/>
      <c r="C366" s="78"/>
      <c r="D366" s="78"/>
      <c r="E366" s="78"/>
      <c r="F366" s="78"/>
      <c r="G366" s="78"/>
    </row>
    <row r="367" spans="1:7">
      <c r="B367" s="8" t="s">
        <v>483</v>
      </c>
    </row>
    <row r="369" spans="1:9">
      <c r="B369" t="s">
        <v>484</v>
      </c>
      <c r="C369">
        <v>0.38</v>
      </c>
      <c r="D369">
        <v>6</v>
      </c>
      <c r="E369">
        <v>10</v>
      </c>
      <c r="F369">
        <v>15</v>
      </c>
      <c r="G369">
        <v>20</v>
      </c>
      <c r="H369">
        <v>30</v>
      </c>
    </row>
    <row r="370" spans="1:9">
      <c r="B370" t="s">
        <v>485</v>
      </c>
      <c r="C370">
        <v>0</v>
      </c>
      <c r="D370">
        <v>7.2</v>
      </c>
      <c r="E370">
        <v>12</v>
      </c>
      <c r="F370">
        <v>17.5</v>
      </c>
      <c r="G370">
        <v>24</v>
      </c>
      <c r="H370">
        <v>36</v>
      </c>
    </row>
    <row r="371" spans="1:9">
      <c r="B371" t="s">
        <v>486</v>
      </c>
      <c r="C371">
        <v>2.5</v>
      </c>
      <c r="D371">
        <v>22</v>
      </c>
      <c r="E371">
        <v>28</v>
      </c>
      <c r="F371">
        <v>38</v>
      </c>
      <c r="G371">
        <v>50</v>
      </c>
      <c r="H371">
        <v>70</v>
      </c>
    </row>
    <row r="372" spans="1:9">
      <c r="B372" t="s">
        <v>487</v>
      </c>
      <c r="C372">
        <v>0</v>
      </c>
      <c r="D372">
        <v>60</v>
      </c>
      <c r="E372">
        <v>75</v>
      </c>
      <c r="F372">
        <v>95</v>
      </c>
      <c r="G372">
        <v>125</v>
      </c>
      <c r="H372">
        <v>170</v>
      </c>
    </row>
    <row r="374" spans="1:9">
      <c r="A374" s="78"/>
      <c r="B374" s="78"/>
      <c r="C374" s="78"/>
      <c r="D374" s="78"/>
      <c r="E374" s="78"/>
      <c r="F374" s="78"/>
      <c r="G374" s="78"/>
    </row>
    <row r="375" spans="1:9">
      <c r="B375" s="8" t="s">
        <v>488</v>
      </c>
      <c r="D375" t="s">
        <v>489</v>
      </c>
    </row>
    <row r="376" spans="1:9">
      <c r="D376" t="s">
        <v>155</v>
      </c>
      <c r="F376" t="s">
        <v>490</v>
      </c>
    </row>
    <row r="377" spans="1:9">
      <c r="B377" t="s">
        <v>491</v>
      </c>
      <c r="D377" t="s">
        <v>46</v>
      </c>
      <c r="F377" t="s">
        <v>492</v>
      </c>
      <c r="H377" t="s">
        <v>493</v>
      </c>
    </row>
    <row r="378" spans="1:9">
      <c r="D378" t="s">
        <v>494</v>
      </c>
      <c r="E378" t="s">
        <v>495</v>
      </c>
      <c r="F378" t="s">
        <v>494</v>
      </c>
      <c r="G378" t="s">
        <v>495</v>
      </c>
      <c r="H378" t="s">
        <v>494</v>
      </c>
      <c r="I378" t="s">
        <v>495</v>
      </c>
    </row>
    <row r="379" spans="1:9">
      <c r="B379" t="s">
        <v>496</v>
      </c>
      <c r="D379">
        <v>0.35</v>
      </c>
      <c r="E379">
        <v>0.25</v>
      </c>
      <c r="F379">
        <v>1.3</v>
      </c>
      <c r="G379">
        <v>1.1000000000000001</v>
      </c>
      <c r="H379">
        <v>1.2</v>
      </c>
      <c r="I379">
        <v>1.4</v>
      </c>
    </row>
    <row r="380" spans="1:9">
      <c r="B380" t="s">
        <v>497</v>
      </c>
      <c r="D380">
        <v>0.35</v>
      </c>
      <c r="E380">
        <v>0.25</v>
      </c>
      <c r="F380">
        <v>1</v>
      </c>
      <c r="G380">
        <v>0.7</v>
      </c>
      <c r="H380">
        <v>1.4</v>
      </c>
      <c r="I380">
        <v>1.67</v>
      </c>
    </row>
    <row r="383" spans="1:9">
      <c r="A383" s="78"/>
      <c r="B383" s="78"/>
      <c r="C383" s="78"/>
      <c r="D383" s="78"/>
      <c r="E383" s="78"/>
      <c r="F383" s="78"/>
      <c r="G383" s="78"/>
    </row>
    <row r="384" spans="1:9">
      <c r="B384" s="8" t="s">
        <v>498</v>
      </c>
      <c r="E384" t="s">
        <v>499</v>
      </c>
    </row>
    <row r="386" spans="2:5">
      <c r="B386" t="s">
        <v>500</v>
      </c>
    </row>
    <row r="387" spans="2:5">
      <c r="C387" t="s">
        <v>501</v>
      </c>
      <c r="D387">
        <v>0.85</v>
      </c>
    </row>
    <row r="388" spans="2:5">
      <c r="C388" s="6" t="s">
        <v>502</v>
      </c>
      <c r="D388">
        <v>0.42299999999999999</v>
      </c>
      <c r="E388" t="s">
        <v>503</v>
      </c>
    </row>
    <row r="389" spans="2:5">
      <c r="C389" s="6" t="s">
        <v>504</v>
      </c>
      <c r="D389">
        <v>0.70699999999999996</v>
      </c>
      <c r="E389" t="s">
        <v>503</v>
      </c>
    </row>
    <row r="390" spans="2:5">
      <c r="C390" s="6" t="s">
        <v>505</v>
      </c>
      <c r="D390">
        <v>0.90700000000000003</v>
      </c>
      <c r="E390" t="s">
        <v>503</v>
      </c>
    </row>
    <row r="391" spans="2:5">
      <c r="B391" t="s">
        <v>506</v>
      </c>
    </row>
    <row r="392" spans="2:5">
      <c r="C392" t="s">
        <v>501</v>
      </c>
      <c r="D392">
        <v>0.88100000000000001</v>
      </c>
      <c r="E392" t="s">
        <v>503</v>
      </c>
    </row>
    <row r="393" spans="2:5">
      <c r="C393" s="6" t="s">
        <v>502</v>
      </c>
      <c r="D393">
        <v>0.42299999999999999</v>
      </c>
      <c r="E393" t="s">
        <v>503</v>
      </c>
    </row>
    <row r="394" spans="2:5">
      <c r="C394" s="6" t="s">
        <v>504</v>
      </c>
      <c r="D394">
        <v>0.61499999999999999</v>
      </c>
      <c r="E394" t="s">
        <v>503</v>
      </c>
    </row>
    <row r="395" spans="2:5">
      <c r="C395" s="6" t="s">
        <v>505</v>
      </c>
      <c r="D395">
        <v>0.78800000000000003</v>
      </c>
      <c r="E395" t="s">
        <v>503</v>
      </c>
    </row>
    <row r="396" spans="2:5">
      <c r="C396" s="6" t="s">
        <v>507</v>
      </c>
      <c r="D396">
        <v>0.97</v>
      </c>
      <c r="E396" t="s">
        <v>503</v>
      </c>
    </row>
    <row r="397" spans="2:5">
      <c r="B397" t="s">
        <v>508</v>
      </c>
      <c r="C397" s="6"/>
    </row>
    <row r="398" spans="2:5">
      <c r="C398" t="s">
        <v>501</v>
      </c>
      <c r="D398">
        <v>0.9</v>
      </c>
      <c r="E398" t="s">
        <v>503</v>
      </c>
    </row>
    <row r="399" spans="2:5">
      <c r="C399" s="6" t="s">
        <v>502</v>
      </c>
      <c r="D399">
        <v>0.42299999999999999</v>
      </c>
      <c r="E399" t="s">
        <v>503</v>
      </c>
    </row>
    <row r="400" spans="2:5">
      <c r="C400" s="6" t="s">
        <v>504</v>
      </c>
      <c r="D400">
        <v>0.57399999999999995</v>
      </c>
      <c r="E400" t="s">
        <v>503</v>
      </c>
    </row>
    <row r="401" spans="1:7">
      <c r="C401" s="6" t="s">
        <v>505</v>
      </c>
      <c r="D401">
        <v>0.70699999999999996</v>
      </c>
      <c r="E401" t="s">
        <v>503</v>
      </c>
    </row>
    <row r="402" spans="1:7">
      <c r="C402" s="6" t="s">
        <v>507</v>
      </c>
      <c r="D402">
        <v>0.81899999999999995</v>
      </c>
      <c r="E402" t="s">
        <v>503</v>
      </c>
    </row>
    <row r="403" spans="1:7">
      <c r="C403" s="6" t="s">
        <v>509</v>
      </c>
      <c r="D403">
        <v>0.90700000000000003</v>
      </c>
      <c r="E403" t="s">
        <v>503</v>
      </c>
    </row>
    <row r="404" spans="1:7">
      <c r="C404" s="6"/>
    </row>
    <row r="405" spans="1:7">
      <c r="A405" s="78"/>
      <c r="B405" s="78"/>
      <c r="C405" s="79"/>
      <c r="D405" s="78"/>
      <c r="E405" s="78"/>
      <c r="F405" s="78"/>
      <c r="G405" s="78"/>
    </row>
    <row r="406" spans="1:7">
      <c r="B406" s="8" t="s">
        <v>510</v>
      </c>
    </row>
    <row r="408" spans="1:7">
      <c r="B408" t="s">
        <v>511</v>
      </c>
      <c r="C408" s="80" t="s">
        <v>512</v>
      </c>
      <c r="D408" s="80" t="s">
        <v>512</v>
      </c>
    </row>
    <row r="409" spans="1:7">
      <c r="C409" t="s">
        <v>494</v>
      </c>
      <c r="D409" t="s">
        <v>495</v>
      </c>
    </row>
    <row r="410" spans="1:7">
      <c r="B410">
        <v>10</v>
      </c>
      <c r="C410">
        <v>0.9</v>
      </c>
      <c r="D410">
        <v>1.38</v>
      </c>
    </row>
    <row r="411" spans="1:7">
      <c r="B411">
        <v>16</v>
      </c>
      <c r="C411">
        <v>1.25</v>
      </c>
      <c r="D411">
        <v>1.75</v>
      </c>
    </row>
    <row r="412" spans="1:7">
      <c r="B412">
        <v>25</v>
      </c>
      <c r="C412">
        <v>1.57</v>
      </c>
      <c r="D412">
        <v>2.2000000000000002</v>
      </c>
    </row>
    <row r="413" spans="1:7">
      <c r="B413">
        <v>40</v>
      </c>
      <c r="C413">
        <v>1.92</v>
      </c>
      <c r="D413">
        <v>2.78</v>
      </c>
    </row>
    <row r="414" spans="1:7">
      <c r="B414">
        <v>50</v>
      </c>
      <c r="C414">
        <v>2.2000000000000002</v>
      </c>
      <c r="D414">
        <v>3.12</v>
      </c>
    </row>
    <row r="415" spans="1:7">
      <c r="B415">
        <v>63</v>
      </c>
      <c r="C415">
        <v>2.48</v>
      </c>
      <c r="D415">
        <v>3.48</v>
      </c>
    </row>
    <row r="416" spans="1:7">
      <c r="B416">
        <v>80</v>
      </c>
      <c r="C416">
        <v>2.8</v>
      </c>
      <c r="D416">
        <v>3.93</v>
      </c>
    </row>
    <row r="417" spans="1:7">
      <c r="B417">
        <v>100</v>
      </c>
      <c r="C417">
        <v>3.15</v>
      </c>
      <c r="D417">
        <v>4.4000000000000004</v>
      </c>
    </row>
    <row r="418" spans="1:7">
      <c r="B418">
        <v>125</v>
      </c>
      <c r="C418">
        <v>3.5</v>
      </c>
      <c r="D418">
        <v>4.9000000000000004</v>
      </c>
    </row>
    <row r="419" spans="1:7">
      <c r="B419">
        <v>160</v>
      </c>
      <c r="C419">
        <v>3.98</v>
      </c>
      <c r="D419">
        <v>5.55</v>
      </c>
    </row>
    <row r="420" spans="1:7">
      <c r="B420">
        <v>200</v>
      </c>
      <c r="C420">
        <v>4.41</v>
      </c>
      <c r="D420">
        <v>6.22</v>
      </c>
    </row>
    <row r="421" spans="1:7">
      <c r="B421">
        <v>250</v>
      </c>
      <c r="C421">
        <v>4.96</v>
      </c>
      <c r="D421">
        <v>6.94</v>
      </c>
    </row>
    <row r="422" spans="1:7">
      <c r="B422">
        <v>315</v>
      </c>
      <c r="C422">
        <v>5.57</v>
      </c>
      <c r="D422">
        <v>7.77</v>
      </c>
    </row>
    <row r="423" spans="1:7">
      <c r="B423">
        <v>400</v>
      </c>
      <c r="C423">
        <v>6.27</v>
      </c>
      <c r="D423">
        <v>8.7899999999999991</v>
      </c>
    </row>
    <row r="424" spans="1:7">
      <c r="B424">
        <v>500</v>
      </c>
      <c r="C424">
        <v>7</v>
      </c>
      <c r="D424">
        <v>9.82</v>
      </c>
    </row>
    <row r="425" spans="1:7">
      <c r="B425">
        <v>630</v>
      </c>
      <c r="C425">
        <v>7.88</v>
      </c>
      <c r="D425">
        <v>11</v>
      </c>
    </row>
    <row r="426" spans="1:7">
      <c r="B426">
        <v>800</v>
      </c>
      <c r="C426">
        <v>8.8699999999999992</v>
      </c>
      <c r="D426">
        <v>12.4</v>
      </c>
    </row>
    <row r="427" spans="1:7">
      <c r="B427">
        <v>1000</v>
      </c>
      <c r="C427">
        <v>9.93</v>
      </c>
      <c r="D427">
        <v>13.9</v>
      </c>
    </row>
    <row r="428" spans="1:7">
      <c r="B428">
        <v>1250</v>
      </c>
      <c r="C428">
        <v>11</v>
      </c>
      <c r="D428">
        <v>15.5</v>
      </c>
    </row>
    <row r="429" spans="1:7">
      <c r="B429">
        <v>1600</v>
      </c>
      <c r="C429">
        <v>12.56</v>
      </c>
      <c r="D429">
        <v>17.57</v>
      </c>
    </row>
    <row r="431" spans="1:7">
      <c r="A431" s="78"/>
      <c r="B431" s="78"/>
      <c r="C431" s="78"/>
      <c r="D431" s="78"/>
      <c r="E431" s="78"/>
      <c r="F431" s="78"/>
      <c r="G431" s="78"/>
    </row>
    <row r="432" spans="1:7">
      <c r="B432" s="8" t="s">
        <v>513</v>
      </c>
    </row>
    <row r="433" spans="1:7">
      <c r="B433" t="s">
        <v>514</v>
      </c>
    </row>
    <row r="437" spans="1:7">
      <c r="A437" s="78"/>
      <c r="B437" s="78"/>
      <c r="C437" s="78"/>
      <c r="D437" s="78"/>
      <c r="E437" s="78"/>
      <c r="F437" s="78"/>
      <c r="G437" s="78"/>
    </row>
    <row r="438" spans="1:7">
      <c r="B438" s="8" t="s">
        <v>515</v>
      </c>
    </row>
    <row r="440" spans="1:7">
      <c r="B440" t="s">
        <v>516</v>
      </c>
      <c r="C440" t="s">
        <v>96</v>
      </c>
      <c r="D440" t="s">
        <v>96</v>
      </c>
    </row>
    <row r="441" spans="1:7">
      <c r="C441" t="s">
        <v>494</v>
      </c>
      <c r="D441" t="s">
        <v>495</v>
      </c>
    </row>
    <row r="442" spans="1:7">
      <c r="B442">
        <v>10</v>
      </c>
      <c r="C442">
        <v>95</v>
      </c>
      <c r="D442">
        <v>100</v>
      </c>
    </row>
    <row r="443" spans="1:7">
      <c r="B443">
        <v>16</v>
      </c>
      <c r="C443">
        <v>100</v>
      </c>
      <c r="D443">
        <v>140</v>
      </c>
    </row>
    <row r="444" spans="1:7">
      <c r="B444">
        <v>25</v>
      </c>
      <c r="C444">
        <v>120</v>
      </c>
      <c r="D444">
        <v>150</v>
      </c>
    </row>
    <row r="445" spans="1:7">
      <c r="B445">
        <v>40</v>
      </c>
      <c r="C445">
        <v>130</v>
      </c>
      <c r="D445">
        <v>180</v>
      </c>
    </row>
    <row r="446" spans="1:7">
      <c r="B446">
        <v>50</v>
      </c>
      <c r="C446">
        <v>140</v>
      </c>
      <c r="D446">
        <v>200</v>
      </c>
    </row>
    <row r="447" spans="1:7">
      <c r="B447">
        <v>63</v>
      </c>
      <c r="C447">
        <v>150</v>
      </c>
      <c r="D447">
        <v>220</v>
      </c>
    </row>
    <row r="448" spans="1:7">
      <c r="B448">
        <v>80</v>
      </c>
      <c r="C448">
        <v>160</v>
      </c>
      <c r="D448">
        <v>240</v>
      </c>
    </row>
    <row r="449" spans="1:7">
      <c r="B449">
        <v>100</v>
      </c>
      <c r="C449">
        <v>170</v>
      </c>
      <c r="D449">
        <v>265</v>
      </c>
    </row>
    <row r="450" spans="1:7">
      <c r="B450">
        <v>125</v>
      </c>
      <c r="C450">
        <v>180</v>
      </c>
      <c r="D450">
        <v>270</v>
      </c>
    </row>
    <row r="451" spans="1:7">
      <c r="B451">
        <v>160</v>
      </c>
      <c r="C451">
        <v>190</v>
      </c>
      <c r="D451">
        <v>290</v>
      </c>
    </row>
    <row r="452" spans="1:7">
      <c r="B452">
        <v>200</v>
      </c>
      <c r="C452">
        <v>200</v>
      </c>
      <c r="D452">
        <v>290</v>
      </c>
    </row>
    <row r="453" spans="1:7">
      <c r="B453">
        <v>250</v>
      </c>
      <c r="C453">
        <v>210</v>
      </c>
      <c r="D453">
        <v>280</v>
      </c>
    </row>
    <row r="454" spans="1:7">
      <c r="B454">
        <v>315</v>
      </c>
      <c r="C454">
        <v>220</v>
      </c>
      <c r="D454">
        <v>290</v>
      </c>
    </row>
    <row r="455" spans="1:7">
      <c r="B455">
        <v>400</v>
      </c>
      <c r="C455">
        <v>230</v>
      </c>
      <c r="D455">
        <v>290</v>
      </c>
    </row>
    <row r="456" spans="1:7">
      <c r="B456">
        <v>500</v>
      </c>
      <c r="C456">
        <v>240</v>
      </c>
      <c r="D456">
        <v>300</v>
      </c>
    </row>
    <row r="457" spans="1:7">
      <c r="B457">
        <v>630</v>
      </c>
      <c r="C457">
        <v>250</v>
      </c>
      <c r="D457">
        <v>320</v>
      </c>
    </row>
    <row r="458" spans="1:7">
      <c r="B458">
        <v>800</v>
      </c>
      <c r="C458">
        <v>260</v>
      </c>
      <c r="D458">
        <v>335</v>
      </c>
    </row>
    <row r="459" spans="1:7">
      <c r="B459">
        <v>1000</v>
      </c>
      <c r="C459">
        <v>270</v>
      </c>
      <c r="D459">
        <v>390</v>
      </c>
    </row>
    <row r="460" spans="1:7">
      <c r="B460">
        <v>1250</v>
      </c>
      <c r="C460">
        <v>280</v>
      </c>
      <c r="D460">
        <v>390</v>
      </c>
    </row>
    <row r="461" spans="1:7">
      <c r="B461">
        <v>1600</v>
      </c>
      <c r="C461">
        <v>290</v>
      </c>
      <c r="D461">
        <v>400</v>
      </c>
    </row>
    <row r="463" spans="1:7">
      <c r="A463" s="78"/>
      <c r="B463" s="78"/>
      <c r="C463" s="78"/>
      <c r="D463" s="78"/>
      <c r="E463" s="78"/>
      <c r="F463" s="78"/>
      <c r="G463" s="78"/>
    </row>
    <row r="464" spans="1:7">
      <c r="B464" s="8" t="s">
        <v>517</v>
      </c>
    </row>
    <row r="465" spans="1:8">
      <c r="B465" t="s">
        <v>518</v>
      </c>
    </row>
    <row r="466" spans="1:8">
      <c r="B466" t="s">
        <v>519</v>
      </c>
    </row>
    <row r="467" spans="1:8">
      <c r="C467" t="s">
        <v>494</v>
      </c>
      <c r="D467" t="s">
        <v>495</v>
      </c>
    </row>
    <row r="468" spans="1:8">
      <c r="B468">
        <v>1</v>
      </c>
      <c r="C468">
        <v>0.3</v>
      </c>
      <c r="D468" s="6">
        <v>0.6</v>
      </c>
      <c r="E468" t="s">
        <v>46</v>
      </c>
      <c r="F468" t="s">
        <v>520</v>
      </c>
    </row>
    <row r="469" spans="1:8">
      <c r="B469">
        <v>2</v>
      </c>
      <c r="C469">
        <v>0.1</v>
      </c>
      <c r="D469" s="6">
        <v>0.18</v>
      </c>
      <c r="E469" t="s">
        <v>46</v>
      </c>
      <c r="F469" t="s">
        <v>521</v>
      </c>
    </row>
    <row r="470" spans="1:8">
      <c r="B470">
        <v>3</v>
      </c>
      <c r="C470">
        <v>1.1000000000000001</v>
      </c>
      <c r="D470" s="6">
        <v>1.5</v>
      </c>
      <c r="E470" t="s">
        <v>46</v>
      </c>
      <c r="F470" t="s">
        <v>522</v>
      </c>
      <c r="H470" t="s">
        <v>523</v>
      </c>
    </row>
    <row r="471" spans="1:8">
      <c r="D471" s="6"/>
    </row>
    <row r="472" spans="1:8">
      <c r="A472" s="78"/>
      <c r="B472" s="78"/>
      <c r="C472" s="78"/>
      <c r="D472" s="78"/>
      <c r="E472" s="78"/>
      <c r="F472" s="78"/>
      <c r="G472" s="78"/>
    </row>
    <row r="473" spans="1:8">
      <c r="B473" s="8" t="s">
        <v>524</v>
      </c>
    </row>
    <row r="474" spans="1:8">
      <c r="B474" t="s">
        <v>525</v>
      </c>
    </row>
    <row r="475" spans="1:8">
      <c r="B475" t="s">
        <v>526</v>
      </c>
    </row>
    <row r="476" spans="1:8">
      <c r="B476" t="s">
        <v>527</v>
      </c>
    </row>
    <row r="478" spans="1:8">
      <c r="B478" t="s">
        <v>528</v>
      </c>
    </row>
    <row r="479" spans="1:8">
      <c r="B479" t="s">
        <v>529</v>
      </c>
    </row>
    <row r="481" spans="1:22">
      <c r="B481" s="8" t="s">
        <v>530</v>
      </c>
    </row>
    <row r="482" spans="1:22">
      <c r="B482" t="s">
        <v>531</v>
      </c>
    </row>
    <row r="483" spans="1:22">
      <c r="B483" t="s">
        <v>532</v>
      </c>
    </row>
    <row r="484" spans="1:22">
      <c r="B484" t="s">
        <v>533</v>
      </c>
      <c r="C484" s="6" t="s">
        <v>163</v>
      </c>
      <c r="D484" t="s">
        <v>534</v>
      </c>
    </row>
    <row r="485" spans="1:22">
      <c r="B485" t="s">
        <v>93</v>
      </c>
      <c r="C485" t="s">
        <v>46</v>
      </c>
      <c r="D485" t="s">
        <v>46</v>
      </c>
    </row>
    <row r="486" spans="1:22">
      <c r="B486">
        <v>6</v>
      </c>
      <c r="C486">
        <v>8</v>
      </c>
      <c r="D486">
        <v>2</v>
      </c>
    </row>
    <row r="487" spans="1:22">
      <c r="B487">
        <v>10</v>
      </c>
      <c r="C487">
        <v>8</v>
      </c>
      <c r="D487">
        <v>2</v>
      </c>
    </row>
    <row r="488" spans="1:22">
      <c r="B488">
        <v>15</v>
      </c>
      <c r="C488">
        <v>10</v>
      </c>
      <c r="D488">
        <v>2.5</v>
      </c>
    </row>
    <row r="489" spans="1:22">
      <c r="B489">
        <v>20</v>
      </c>
      <c r="C489">
        <v>13.5</v>
      </c>
      <c r="D489">
        <v>2.5</v>
      </c>
    </row>
    <row r="490" spans="1:22">
      <c r="B490">
        <v>30</v>
      </c>
      <c r="C490">
        <v>18.5</v>
      </c>
      <c r="D490">
        <v>3</v>
      </c>
    </row>
    <row r="493" spans="1:22">
      <c r="A493" s="78"/>
      <c r="B493" s="78"/>
      <c r="C493" s="78"/>
      <c r="D493" s="78"/>
      <c r="E493" s="78"/>
      <c r="F493" s="78"/>
      <c r="G493" s="78"/>
      <c r="K493" s="45"/>
      <c r="L493" s="45"/>
    </row>
    <row r="494" spans="1:22">
      <c r="B494" s="8" t="s">
        <v>535</v>
      </c>
    </row>
    <row r="496" spans="1:22">
      <c r="B496" t="s">
        <v>511</v>
      </c>
      <c r="C496">
        <v>10</v>
      </c>
      <c r="D496">
        <v>16</v>
      </c>
      <c r="E496">
        <v>25</v>
      </c>
      <c r="F496">
        <v>40</v>
      </c>
      <c r="G496">
        <v>50</v>
      </c>
      <c r="H496">
        <v>63</v>
      </c>
      <c r="I496">
        <v>80</v>
      </c>
      <c r="J496">
        <v>100</v>
      </c>
      <c r="K496">
        <v>125</v>
      </c>
      <c r="L496">
        <v>160</v>
      </c>
      <c r="M496">
        <v>200</v>
      </c>
      <c r="N496">
        <v>250</v>
      </c>
      <c r="O496">
        <v>315</v>
      </c>
      <c r="P496">
        <v>400</v>
      </c>
      <c r="Q496">
        <v>500</v>
      </c>
      <c r="R496">
        <v>630</v>
      </c>
      <c r="S496">
        <v>800</v>
      </c>
      <c r="T496">
        <v>1000</v>
      </c>
      <c r="U496">
        <v>1250</v>
      </c>
      <c r="V496">
        <v>1600</v>
      </c>
    </row>
    <row r="497" spans="1:22">
      <c r="B497" t="s">
        <v>536</v>
      </c>
      <c r="C497">
        <v>6</v>
      </c>
      <c r="D497">
        <v>5.8</v>
      </c>
      <c r="E497">
        <v>5</v>
      </c>
      <c r="F497">
        <v>4.3</v>
      </c>
      <c r="G497">
        <v>3.7</v>
      </c>
      <c r="H497">
        <v>3.5</v>
      </c>
      <c r="I497">
        <v>3.3</v>
      </c>
      <c r="J497">
        <v>3.1</v>
      </c>
      <c r="K497">
        <v>2.9</v>
      </c>
      <c r="L497">
        <v>2.7</v>
      </c>
      <c r="M497">
        <v>2.5</v>
      </c>
      <c r="N497">
        <v>2.4</v>
      </c>
      <c r="O497">
        <v>2.2999999999999998</v>
      </c>
      <c r="P497">
        <v>2.2000000000000002</v>
      </c>
      <c r="Q497">
        <v>2.1</v>
      </c>
      <c r="R497">
        <v>2.1</v>
      </c>
      <c r="S497">
        <v>2.1</v>
      </c>
      <c r="T497">
        <v>2</v>
      </c>
      <c r="U497">
        <v>2</v>
      </c>
      <c r="V497">
        <v>1.8</v>
      </c>
    </row>
    <row r="499" spans="1:22">
      <c r="A499" s="78"/>
      <c r="B499" s="78"/>
      <c r="C499" s="78"/>
      <c r="D499" s="78"/>
      <c r="E499" s="78"/>
      <c r="F499" s="78"/>
      <c r="G499" s="78"/>
    </row>
    <row r="500" spans="1:22">
      <c r="B500" s="8" t="s">
        <v>537</v>
      </c>
    </row>
    <row r="502" spans="1:22">
      <c r="B502" t="s">
        <v>538</v>
      </c>
      <c r="C502" t="s">
        <v>372</v>
      </c>
      <c r="D502" t="s">
        <v>253</v>
      </c>
      <c r="E502" t="s">
        <v>253</v>
      </c>
      <c r="F502" t="s">
        <v>539</v>
      </c>
      <c r="G502" t="s">
        <v>372</v>
      </c>
      <c r="H502" t="s">
        <v>256</v>
      </c>
      <c r="N502" t="s">
        <v>257</v>
      </c>
      <c r="S502" t="s">
        <v>540</v>
      </c>
    </row>
    <row r="503" spans="1:22">
      <c r="B503" t="s">
        <v>450</v>
      </c>
      <c r="C503" t="s">
        <v>541</v>
      </c>
      <c r="D503" t="s">
        <v>259</v>
      </c>
      <c r="E503" t="s">
        <v>260</v>
      </c>
      <c r="F503" t="s">
        <v>542</v>
      </c>
      <c r="G503" t="s">
        <v>543</v>
      </c>
      <c r="H503" t="s">
        <v>544</v>
      </c>
      <c r="I503" t="s">
        <v>544</v>
      </c>
      <c r="J503" t="s">
        <v>545</v>
      </c>
      <c r="K503" t="s">
        <v>545</v>
      </c>
      <c r="L503" t="s">
        <v>546</v>
      </c>
      <c r="M503" t="s">
        <v>546</v>
      </c>
      <c r="N503" t="s">
        <v>264</v>
      </c>
      <c r="O503" t="s">
        <v>265</v>
      </c>
      <c r="P503" t="s">
        <v>547</v>
      </c>
      <c r="Q503" t="s">
        <v>267</v>
      </c>
      <c r="R503" t="s">
        <v>268</v>
      </c>
      <c r="S503" t="s">
        <v>269</v>
      </c>
      <c r="T503" t="s">
        <v>548</v>
      </c>
    </row>
    <row r="504" spans="1:22">
      <c r="C504" t="s">
        <v>549</v>
      </c>
      <c r="H504" t="s">
        <v>550</v>
      </c>
      <c r="I504" t="s">
        <v>550</v>
      </c>
      <c r="J504" t="s">
        <v>550</v>
      </c>
      <c r="K504" t="s">
        <v>550</v>
      </c>
      <c r="L504" t="s">
        <v>550</v>
      </c>
      <c r="M504" t="s">
        <v>550</v>
      </c>
      <c r="P504" t="s">
        <v>551</v>
      </c>
      <c r="T504" t="s">
        <v>552</v>
      </c>
    </row>
    <row r="505" spans="1:22">
      <c r="B505" t="s">
        <v>92</v>
      </c>
      <c r="C505" t="s">
        <v>93</v>
      </c>
      <c r="D505" t="s">
        <v>212</v>
      </c>
      <c r="E505" t="s">
        <v>212</v>
      </c>
      <c r="F505" t="s">
        <v>109</v>
      </c>
      <c r="G505" t="s">
        <v>109</v>
      </c>
      <c r="H505" t="s">
        <v>271</v>
      </c>
      <c r="I505" t="s">
        <v>272</v>
      </c>
      <c r="J505" t="s">
        <v>271</v>
      </c>
      <c r="K505" t="s">
        <v>272</v>
      </c>
      <c r="L505" t="s">
        <v>271</v>
      </c>
      <c r="M505" t="s">
        <v>272</v>
      </c>
      <c r="N505" t="s">
        <v>273</v>
      </c>
      <c r="O505" t="s">
        <v>273</v>
      </c>
      <c r="P505" t="s">
        <v>273</v>
      </c>
      <c r="Q505" t="s">
        <v>273</v>
      </c>
      <c r="R505" t="s">
        <v>273</v>
      </c>
      <c r="S505" t="s">
        <v>274</v>
      </c>
      <c r="T505" t="s">
        <v>46</v>
      </c>
    </row>
    <row r="506" spans="1:22">
      <c r="B506">
        <v>10</v>
      </c>
      <c r="C506" t="s">
        <v>553</v>
      </c>
      <c r="D506">
        <v>80</v>
      </c>
      <c r="E506">
        <v>440</v>
      </c>
      <c r="F506">
        <v>5</v>
      </c>
      <c r="G506">
        <v>4.3</v>
      </c>
      <c r="H506">
        <v>95.08</v>
      </c>
      <c r="I506">
        <v>93.98</v>
      </c>
      <c r="J506">
        <v>95.83</v>
      </c>
      <c r="K506">
        <v>94.8</v>
      </c>
      <c r="L506">
        <v>96.35</v>
      </c>
      <c r="M506">
        <v>95.43</v>
      </c>
      <c r="N506">
        <v>70</v>
      </c>
      <c r="O506">
        <v>20</v>
      </c>
      <c r="P506">
        <v>105</v>
      </c>
      <c r="Q506">
        <v>65</v>
      </c>
      <c r="R506">
        <v>210</v>
      </c>
      <c r="S506" t="s">
        <v>554</v>
      </c>
      <c r="T506">
        <v>880</v>
      </c>
    </row>
    <row r="507" spans="1:22">
      <c r="B507">
        <v>16</v>
      </c>
      <c r="C507" t="s">
        <v>553</v>
      </c>
      <c r="D507">
        <v>120</v>
      </c>
      <c r="E507">
        <v>530</v>
      </c>
      <c r="F507">
        <v>4.4000000000000004</v>
      </c>
      <c r="G507">
        <v>4.3</v>
      </c>
      <c r="H507">
        <v>96.1</v>
      </c>
      <c r="I507">
        <v>95.13</v>
      </c>
      <c r="J507">
        <v>96.64</v>
      </c>
      <c r="K507">
        <v>95.8</v>
      </c>
      <c r="L507">
        <v>96.95</v>
      </c>
      <c r="M507">
        <v>96.2</v>
      </c>
      <c r="N507">
        <v>94</v>
      </c>
      <c r="O507">
        <v>27</v>
      </c>
      <c r="P507">
        <v>145</v>
      </c>
      <c r="Q507">
        <v>75</v>
      </c>
      <c r="R507">
        <v>260</v>
      </c>
      <c r="S507" t="s">
        <v>555</v>
      </c>
      <c r="T507">
        <v>925</v>
      </c>
    </row>
    <row r="508" spans="1:22">
      <c r="B508">
        <v>25</v>
      </c>
      <c r="C508" t="s">
        <v>553</v>
      </c>
      <c r="D508">
        <v>150</v>
      </c>
      <c r="E508">
        <v>740</v>
      </c>
      <c r="F508">
        <v>3.9</v>
      </c>
      <c r="G508">
        <v>4.5</v>
      </c>
      <c r="H508">
        <v>96.54</v>
      </c>
      <c r="I508">
        <v>95.68</v>
      </c>
      <c r="J508">
        <v>97.06</v>
      </c>
      <c r="K508">
        <v>96.33</v>
      </c>
      <c r="L508">
        <v>97.39</v>
      </c>
      <c r="M508">
        <v>96.75</v>
      </c>
      <c r="N508">
        <v>100</v>
      </c>
      <c r="O508">
        <v>39</v>
      </c>
      <c r="P508">
        <v>210</v>
      </c>
      <c r="Q508">
        <v>85</v>
      </c>
      <c r="R508">
        <v>340</v>
      </c>
      <c r="S508" t="s">
        <v>556</v>
      </c>
      <c r="T508">
        <v>950</v>
      </c>
    </row>
    <row r="509" spans="1:22">
      <c r="B509">
        <v>40</v>
      </c>
      <c r="C509" t="s">
        <v>553</v>
      </c>
      <c r="D509">
        <v>200</v>
      </c>
      <c r="E509">
        <v>1050</v>
      </c>
      <c r="F509">
        <v>3.7</v>
      </c>
      <c r="G509">
        <v>4.2</v>
      </c>
      <c r="H509">
        <v>96.96</v>
      </c>
      <c r="I509">
        <v>96.2</v>
      </c>
      <c r="J509">
        <v>97.44</v>
      </c>
      <c r="K509">
        <v>97</v>
      </c>
      <c r="L509">
        <v>97.73</v>
      </c>
      <c r="M509">
        <v>97.18</v>
      </c>
      <c r="N509">
        <v>135</v>
      </c>
      <c r="O509">
        <v>58</v>
      </c>
      <c r="P509">
        <v>265</v>
      </c>
      <c r="Q509">
        <v>110</v>
      </c>
      <c r="R509">
        <v>435</v>
      </c>
      <c r="S509" t="s">
        <v>557</v>
      </c>
      <c r="T509">
        <v>1020</v>
      </c>
    </row>
    <row r="510" spans="1:22">
      <c r="B510">
        <v>50</v>
      </c>
      <c r="C510" t="s">
        <v>553</v>
      </c>
      <c r="D510">
        <v>250</v>
      </c>
      <c r="E510">
        <v>1200</v>
      </c>
      <c r="F510">
        <v>3.5</v>
      </c>
      <c r="G510">
        <v>4.2</v>
      </c>
      <c r="H510">
        <v>97.18</v>
      </c>
      <c r="I510">
        <v>96.48</v>
      </c>
      <c r="J510">
        <v>97.54</v>
      </c>
      <c r="K510">
        <v>96.92</v>
      </c>
      <c r="L510">
        <v>97.84</v>
      </c>
      <c r="M510">
        <v>97.32</v>
      </c>
      <c r="N510">
        <v>165</v>
      </c>
      <c r="O510">
        <v>60</v>
      </c>
      <c r="P510">
        <v>310</v>
      </c>
      <c r="Q510">
        <v>120</v>
      </c>
      <c r="R510">
        <v>490</v>
      </c>
      <c r="S510" t="s">
        <v>558</v>
      </c>
      <c r="T510">
        <v>1060</v>
      </c>
    </row>
    <row r="511" spans="1:22">
      <c r="B511">
        <v>63</v>
      </c>
      <c r="C511" t="s">
        <v>553</v>
      </c>
      <c r="D511">
        <v>285</v>
      </c>
      <c r="E511">
        <v>1400</v>
      </c>
      <c r="F511">
        <v>3.3</v>
      </c>
      <c r="G511">
        <v>4.2</v>
      </c>
      <c r="H511">
        <v>97.38</v>
      </c>
      <c r="I511">
        <v>96.73</v>
      </c>
      <c r="J511">
        <v>97.78</v>
      </c>
      <c r="K511">
        <v>97.22</v>
      </c>
      <c r="L511">
        <v>98.02</v>
      </c>
      <c r="M511">
        <v>97.54</v>
      </c>
      <c r="N511">
        <v>185</v>
      </c>
      <c r="O511">
        <v>65</v>
      </c>
      <c r="P511">
        <v>350</v>
      </c>
      <c r="Q511">
        <v>125</v>
      </c>
      <c r="R511">
        <v>550</v>
      </c>
      <c r="S511" t="s">
        <v>559</v>
      </c>
      <c r="T511">
        <v>1130</v>
      </c>
    </row>
    <row r="512" spans="1:22">
      <c r="B512">
        <v>80</v>
      </c>
      <c r="C512" t="s">
        <v>553</v>
      </c>
      <c r="D512">
        <v>320</v>
      </c>
      <c r="E512">
        <v>1600</v>
      </c>
      <c r="F512">
        <v>3</v>
      </c>
      <c r="G512">
        <v>4.2</v>
      </c>
      <c r="H512">
        <v>97.63</v>
      </c>
      <c r="I512">
        <v>97.04</v>
      </c>
      <c r="J512">
        <v>98</v>
      </c>
      <c r="K512">
        <v>97.5</v>
      </c>
      <c r="L512">
        <v>98.23</v>
      </c>
      <c r="M512">
        <v>97.79</v>
      </c>
      <c r="N512">
        <v>215</v>
      </c>
      <c r="O512">
        <v>80</v>
      </c>
      <c r="P512">
        <v>390</v>
      </c>
      <c r="Q512">
        <v>155</v>
      </c>
      <c r="R512">
        <v>630</v>
      </c>
      <c r="S512" t="s">
        <v>560</v>
      </c>
      <c r="T512">
        <v>1200</v>
      </c>
    </row>
    <row r="513" spans="1:20">
      <c r="B513">
        <v>100</v>
      </c>
      <c r="C513" t="s">
        <v>553</v>
      </c>
      <c r="D513">
        <v>390</v>
      </c>
      <c r="E513">
        <v>1850</v>
      </c>
      <c r="F513">
        <v>2.9</v>
      </c>
      <c r="G513">
        <v>4.2</v>
      </c>
      <c r="H513">
        <v>97.81</v>
      </c>
      <c r="I513">
        <v>97.26</v>
      </c>
      <c r="J513">
        <v>98.12</v>
      </c>
      <c r="K513">
        <v>97.65</v>
      </c>
      <c r="L513">
        <v>98.32</v>
      </c>
      <c r="M513">
        <v>97.9</v>
      </c>
      <c r="N513">
        <v>240</v>
      </c>
      <c r="O513">
        <v>100</v>
      </c>
      <c r="P513">
        <v>430</v>
      </c>
      <c r="Q513">
        <v>165</v>
      </c>
      <c r="R513">
        <v>680</v>
      </c>
      <c r="S513" t="s">
        <v>561</v>
      </c>
      <c r="T513">
        <v>1260</v>
      </c>
    </row>
    <row r="514" spans="1:20">
      <c r="B514">
        <v>125</v>
      </c>
      <c r="C514" t="s">
        <v>553</v>
      </c>
      <c r="D514">
        <v>465</v>
      </c>
      <c r="E514">
        <v>2150</v>
      </c>
      <c r="F514">
        <v>2.7</v>
      </c>
      <c r="G514">
        <v>4.2</v>
      </c>
      <c r="H514">
        <v>97.95</v>
      </c>
      <c r="I514">
        <v>97.43</v>
      </c>
      <c r="J514">
        <v>98.24</v>
      </c>
      <c r="K514">
        <v>97.8</v>
      </c>
      <c r="L514">
        <v>98.41</v>
      </c>
      <c r="M514">
        <v>98.01</v>
      </c>
      <c r="N514">
        <v>260</v>
      </c>
      <c r="O514">
        <v>118</v>
      </c>
      <c r="P514">
        <v>485</v>
      </c>
      <c r="Q514">
        <v>180</v>
      </c>
      <c r="R514">
        <v>750</v>
      </c>
      <c r="S514" t="s">
        <v>562</v>
      </c>
      <c r="T514">
        <v>1310</v>
      </c>
    </row>
    <row r="515" spans="1:20">
      <c r="B515">
        <v>160</v>
      </c>
      <c r="C515" t="s">
        <v>553</v>
      </c>
      <c r="D515">
        <v>550</v>
      </c>
      <c r="E515">
        <v>2550</v>
      </c>
      <c r="F515">
        <v>2.5</v>
      </c>
      <c r="G515">
        <v>4.2</v>
      </c>
      <c r="H515">
        <v>98.1</v>
      </c>
      <c r="I515">
        <v>97.63</v>
      </c>
      <c r="J515">
        <v>98.37</v>
      </c>
      <c r="K515">
        <v>97.96</v>
      </c>
      <c r="L515">
        <v>98.53</v>
      </c>
      <c r="M515">
        <v>98.17</v>
      </c>
      <c r="N515">
        <v>290</v>
      </c>
      <c r="O515">
        <v>130</v>
      </c>
      <c r="P515">
        <v>570</v>
      </c>
      <c r="Q515">
        <v>210</v>
      </c>
      <c r="R515">
        <v>880</v>
      </c>
      <c r="S515" t="s">
        <v>563</v>
      </c>
      <c r="T515">
        <v>1350</v>
      </c>
    </row>
    <row r="516" spans="1:20">
      <c r="B516">
        <v>200</v>
      </c>
      <c r="C516" t="s">
        <v>553</v>
      </c>
      <c r="D516">
        <v>640</v>
      </c>
      <c r="E516">
        <v>3150</v>
      </c>
      <c r="F516">
        <v>2.2999999999999998</v>
      </c>
      <c r="G516">
        <v>4.2</v>
      </c>
      <c r="H516">
        <v>98.13</v>
      </c>
      <c r="I516">
        <v>97.66</v>
      </c>
      <c r="J516">
        <v>98.42</v>
      </c>
      <c r="K516">
        <v>98.02</v>
      </c>
      <c r="L516">
        <v>98.57</v>
      </c>
      <c r="M516">
        <v>98.22</v>
      </c>
      <c r="N516">
        <v>350</v>
      </c>
      <c r="O516">
        <v>155</v>
      </c>
      <c r="P516">
        <v>670</v>
      </c>
      <c r="Q516">
        <v>250</v>
      </c>
      <c r="R516">
        <v>1080</v>
      </c>
      <c r="S516" t="s">
        <v>564</v>
      </c>
      <c r="T516">
        <v>1415</v>
      </c>
    </row>
    <row r="517" spans="1:20">
      <c r="B517">
        <v>250</v>
      </c>
      <c r="C517" t="s">
        <v>553</v>
      </c>
      <c r="D517">
        <v>780</v>
      </c>
      <c r="E517">
        <v>3700</v>
      </c>
      <c r="F517">
        <v>2.2000000000000002</v>
      </c>
      <c r="G517">
        <v>4.2</v>
      </c>
      <c r="H517">
        <v>98.24</v>
      </c>
      <c r="I517">
        <v>97.8</v>
      </c>
      <c r="J517">
        <v>98.49</v>
      </c>
      <c r="K517">
        <v>98.12</v>
      </c>
      <c r="L517">
        <v>98.65</v>
      </c>
      <c r="M517">
        <v>98.31</v>
      </c>
      <c r="N517">
        <v>440</v>
      </c>
      <c r="O517">
        <v>175</v>
      </c>
      <c r="P517">
        <v>760</v>
      </c>
      <c r="Q517">
        <v>280</v>
      </c>
      <c r="R517">
        <v>1210</v>
      </c>
      <c r="S517" t="s">
        <v>565</v>
      </c>
      <c r="T517">
        <v>1480</v>
      </c>
    </row>
    <row r="518" spans="1:20">
      <c r="B518">
        <v>315</v>
      </c>
      <c r="C518" t="s">
        <v>553</v>
      </c>
      <c r="D518">
        <v>940</v>
      </c>
      <c r="E518">
        <v>4650</v>
      </c>
      <c r="F518">
        <v>2.1</v>
      </c>
      <c r="G518">
        <v>4.2</v>
      </c>
      <c r="H518">
        <v>98.26</v>
      </c>
      <c r="I518">
        <v>97.83</v>
      </c>
      <c r="J518">
        <v>98.51</v>
      </c>
      <c r="K518">
        <v>98.12</v>
      </c>
      <c r="L518">
        <v>98.68</v>
      </c>
      <c r="M518">
        <v>98.35</v>
      </c>
      <c r="N518">
        <v>480</v>
      </c>
      <c r="O518">
        <v>205</v>
      </c>
      <c r="P518">
        <v>900</v>
      </c>
      <c r="Q518">
        <v>340</v>
      </c>
      <c r="R518">
        <v>1400</v>
      </c>
      <c r="S518" t="s">
        <v>566</v>
      </c>
      <c r="T518">
        <v>1600</v>
      </c>
    </row>
    <row r="519" spans="1:20">
      <c r="B519">
        <v>400</v>
      </c>
      <c r="C519" t="s">
        <v>553</v>
      </c>
      <c r="D519">
        <v>1170</v>
      </c>
      <c r="E519">
        <v>5600</v>
      </c>
      <c r="F519">
        <v>2</v>
      </c>
      <c r="G519">
        <v>4.2</v>
      </c>
      <c r="H519">
        <v>98.33</v>
      </c>
      <c r="I519">
        <v>97.91</v>
      </c>
      <c r="J519">
        <v>98.61</v>
      </c>
      <c r="K519">
        <v>98.26</v>
      </c>
      <c r="L519">
        <v>98.73</v>
      </c>
      <c r="M519">
        <v>98.41</v>
      </c>
      <c r="N519">
        <v>585</v>
      </c>
      <c r="O519">
        <v>240</v>
      </c>
      <c r="P519">
        <v>1160</v>
      </c>
      <c r="Q519">
        <v>380</v>
      </c>
      <c r="R519">
        <v>1790</v>
      </c>
      <c r="S519" t="s">
        <v>567</v>
      </c>
      <c r="T519">
        <v>1730</v>
      </c>
    </row>
    <row r="520" spans="1:20">
      <c r="B520">
        <v>500</v>
      </c>
      <c r="C520" t="s">
        <v>553</v>
      </c>
      <c r="D520">
        <v>1350</v>
      </c>
      <c r="E520">
        <v>6500</v>
      </c>
      <c r="F520">
        <v>2</v>
      </c>
      <c r="G520">
        <v>4.2</v>
      </c>
      <c r="H520">
        <v>98.45</v>
      </c>
      <c r="I520">
        <v>98.06</v>
      </c>
      <c r="J520">
        <v>98.68</v>
      </c>
      <c r="K520">
        <v>98.35</v>
      </c>
      <c r="L520">
        <v>98.82</v>
      </c>
      <c r="M520">
        <v>98.52</v>
      </c>
      <c r="N520">
        <v>650</v>
      </c>
      <c r="O520">
        <v>300</v>
      </c>
      <c r="P520">
        <v>1265</v>
      </c>
      <c r="Q520">
        <v>460</v>
      </c>
      <c r="R520">
        <v>2000</v>
      </c>
      <c r="S520" t="s">
        <v>568</v>
      </c>
      <c r="T520">
        <v>1800</v>
      </c>
    </row>
    <row r="521" spans="1:20">
      <c r="B521">
        <v>630</v>
      </c>
      <c r="C521" t="s">
        <v>553</v>
      </c>
      <c r="D521">
        <v>1600</v>
      </c>
      <c r="E521">
        <v>7800</v>
      </c>
      <c r="F521">
        <v>1.9</v>
      </c>
      <c r="G521">
        <v>4.2</v>
      </c>
      <c r="H521">
        <v>98.52</v>
      </c>
      <c r="I521">
        <v>98.15</v>
      </c>
      <c r="J521">
        <v>98.74</v>
      </c>
      <c r="K521">
        <v>98.41</v>
      </c>
      <c r="L521">
        <v>98.87</v>
      </c>
      <c r="M521">
        <v>98.59</v>
      </c>
      <c r="N521">
        <v>820</v>
      </c>
      <c r="O521">
        <v>350</v>
      </c>
      <c r="P521">
        <v>1580</v>
      </c>
      <c r="Q521">
        <v>490</v>
      </c>
      <c r="R521">
        <v>2350</v>
      </c>
      <c r="S521" t="s">
        <v>569</v>
      </c>
      <c r="T521">
        <v>1960</v>
      </c>
    </row>
    <row r="522" spans="1:20">
      <c r="B522">
        <v>800</v>
      </c>
      <c r="C522" t="s">
        <v>553</v>
      </c>
      <c r="D522">
        <v>1850</v>
      </c>
      <c r="E522">
        <v>9500</v>
      </c>
      <c r="F522">
        <v>1.9</v>
      </c>
      <c r="G522">
        <v>4.5</v>
      </c>
      <c r="H522">
        <v>98.6</v>
      </c>
      <c r="I522">
        <v>98.25</v>
      </c>
      <c r="J522">
        <v>98.81</v>
      </c>
      <c r="K522">
        <v>98.52</v>
      </c>
      <c r="L522">
        <v>98.95</v>
      </c>
      <c r="M522">
        <v>98.69</v>
      </c>
      <c r="N522">
        <v>960</v>
      </c>
      <c r="O522">
        <v>400</v>
      </c>
      <c r="P522">
        <v>1750</v>
      </c>
      <c r="Q522">
        <v>560</v>
      </c>
      <c r="R522">
        <v>2570</v>
      </c>
      <c r="S522" t="s">
        <v>570</v>
      </c>
      <c r="T522">
        <v>2180</v>
      </c>
    </row>
    <row r="523" spans="1:20">
      <c r="B523">
        <v>1000</v>
      </c>
      <c r="C523" t="s">
        <v>553</v>
      </c>
      <c r="D523">
        <v>2200</v>
      </c>
      <c r="E523">
        <v>11000</v>
      </c>
      <c r="F523">
        <v>1.8</v>
      </c>
      <c r="G523">
        <v>4.5</v>
      </c>
      <c r="H523">
        <v>98.7</v>
      </c>
      <c r="I523">
        <v>98.38</v>
      </c>
      <c r="J523">
        <v>98.89</v>
      </c>
      <c r="K523">
        <v>98.61</v>
      </c>
      <c r="L523">
        <v>99.02</v>
      </c>
      <c r="M523">
        <v>99.78</v>
      </c>
      <c r="N523">
        <v>1140</v>
      </c>
      <c r="O523">
        <v>500</v>
      </c>
      <c r="P523">
        <v>1980</v>
      </c>
      <c r="Q523">
        <v>760</v>
      </c>
      <c r="R523">
        <v>3100</v>
      </c>
      <c r="S523" t="s">
        <v>571</v>
      </c>
      <c r="T523">
        <v>2356</v>
      </c>
    </row>
    <row r="524" spans="1:20">
      <c r="B524">
        <v>1250</v>
      </c>
      <c r="C524" t="s">
        <v>553</v>
      </c>
      <c r="D524">
        <v>2600</v>
      </c>
      <c r="E524">
        <v>12800</v>
      </c>
      <c r="F524">
        <v>1.8</v>
      </c>
      <c r="G524">
        <v>4.5</v>
      </c>
      <c r="H524">
        <v>98.78</v>
      </c>
      <c r="I524">
        <v>98.48</v>
      </c>
      <c r="J524">
        <v>98.96</v>
      </c>
      <c r="K524">
        <v>98.7</v>
      </c>
      <c r="L524">
        <v>99.07</v>
      </c>
      <c r="M524">
        <v>98.84</v>
      </c>
      <c r="N524">
        <v>1350</v>
      </c>
      <c r="O524">
        <v>650</v>
      </c>
      <c r="P524">
        <v>2280</v>
      </c>
      <c r="Q524">
        <v>1000</v>
      </c>
      <c r="R524">
        <v>3600</v>
      </c>
      <c r="S524" t="s">
        <v>572</v>
      </c>
      <c r="T524">
        <v>2460</v>
      </c>
    </row>
    <row r="525" spans="1:20">
      <c r="B525">
        <v>1600</v>
      </c>
      <c r="C525" t="s">
        <v>553</v>
      </c>
      <c r="D525">
        <v>3100</v>
      </c>
      <c r="E525">
        <v>16000</v>
      </c>
      <c r="F525">
        <v>1.6</v>
      </c>
      <c r="G525">
        <v>4.5</v>
      </c>
      <c r="H525">
        <v>98.82</v>
      </c>
      <c r="I525">
        <v>98.52</v>
      </c>
      <c r="J525">
        <v>99</v>
      </c>
      <c r="K525">
        <v>98.75</v>
      </c>
      <c r="L525">
        <v>99.12</v>
      </c>
      <c r="M525">
        <v>98.9</v>
      </c>
      <c r="N525">
        <v>1550</v>
      </c>
      <c r="O525">
        <v>750</v>
      </c>
      <c r="P525">
        <v>3100</v>
      </c>
      <c r="Q525">
        <v>1080</v>
      </c>
      <c r="R525">
        <v>4700</v>
      </c>
      <c r="S525" t="s">
        <v>573</v>
      </c>
      <c r="T525">
        <v>2560</v>
      </c>
    </row>
    <row r="527" spans="1:20">
      <c r="A527" s="78"/>
      <c r="B527" s="78"/>
      <c r="C527" s="78"/>
      <c r="D527" s="78"/>
      <c r="E527" s="78"/>
      <c r="F527" s="78"/>
      <c r="G527" s="78"/>
    </row>
  </sheetData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LibreOffice/6.1.5.2$Linux_X86_64 LibreOffice_project/10$Build-2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Intestazione</vt:lpstr>
      <vt:lpstr>Lamierini</vt:lpstr>
      <vt:lpstr>Elaborazione</vt:lpstr>
      <vt:lpstr>Stampa</vt:lpstr>
      <vt:lpstr>Tabelle riferimento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R.Rombi</cp:lastModifiedBy>
  <cp:revision>24</cp:revision>
  <cp:lastPrinted>2021-03-13T15:04:40Z</cp:lastPrinted>
  <dcterms:created xsi:type="dcterms:W3CDTF">2020-12-20T18:11:01Z</dcterms:created>
  <dcterms:modified xsi:type="dcterms:W3CDTF">2021-03-16T22:27:46Z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